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hung Toshiba\Nhung\ke hoach\Xay dung KH 2024\KH 2024 7 ban hanh\"/>
    </mc:Choice>
  </mc:AlternateContent>
  <bookViews>
    <workbookView xWindow="0" yWindow="0" windowWidth="23040" windowHeight="9288" activeTab="1"/>
  </bookViews>
  <sheets>
    <sheet name="BC thue 26 6" sheetId="1" r:id="rId1"/>
    <sheet name="Bieu 2" sheetId="2" r:id="rId2"/>
  </sheets>
  <calcPr calcId="152511"/>
</workbook>
</file>

<file path=xl/calcChain.xml><?xml version="1.0" encoding="utf-8"?>
<calcChain xmlns="http://schemas.openxmlformats.org/spreadsheetml/2006/main">
  <c r="J27" i="2" l="1"/>
  <c r="I27" i="2"/>
  <c r="J26" i="2"/>
  <c r="I26" i="2"/>
  <c r="J25" i="2"/>
  <c r="I25" i="2"/>
  <c r="J24" i="2"/>
  <c r="I24" i="2"/>
  <c r="J21" i="2"/>
  <c r="I21" i="2"/>
  <c r="J20" i="2"/>
  <c r="I20" i="2"/>
  <c r="H20" i="2"/>
  <c r="H14" i="2" s="1"/>
  <c r="J14" i="2" s="1"/>
  <c r="G20" i="2"/>
  <c r="G23" i="2" s="1"/>
  <c r="I23" i="2" s="1"/>
  <c r="F20" i="2"/>
  <c r="D20" i="2"/>
  <c r="G18" i="2"/>
  <c r="I18" i="2" s="1"/>
  <c r="J15" i="2"/>
  <c r="I15" i="2"/>
  <c r="F15" i="2"/>
  <c r="G16" i="2" s="1"/>
  <c r="D15" i="2"/>
  <c r="D23" i="2" s="1"/>
  <c r="G14" i="2"/>
  <c r="I14" i="2" s="1"/>
  <c r="J13" i="2"/>
  <c r="I13" i="2"/>
  <c r="J12" i="2"/>
  <c r="I12" i="2"/>
  <c r="J11" i="2"/>
  <c r="I11" i="2"/>
  <c r="J10" i="2"/>
  <c r="I10" i="2"/>
  <c r="D10" i="2"/>
  <c r="J9" i="2"/>
  <c r="F9" i="2"/>
  <c r="E9" i="2"/>
  <c r="I9" i="2" s="1"/>
  <c r="D9" i="2"/>
  <c r="E97" i="1"/>
  <c r="D97" i="1"/>
  <c r="G92" i="1"/>
  <c r="F92" i="1"/>
  <c r="G85" i="1"/>
  <c r="J85" i="1" s="1"/>
  <c r="F85" i="1"/>
  <c r="F84" i="1"/>
  <c r="F83" i="1"/>
  <c r="H82" i="1"/>
  <c r="D82" i="1"/>
  <c r="D81" i="1" s="1"/>
  <c r="H81" i="1"/>
  <c r="G80" i="1"/>
  <c r="J80" i="1" s="1"/>
  <c r="I79" i="1"/>
  <c r="I78" i="1"/>
  <c r="I77" i="1"/>
  <c r="I76" i="1"/>
  <c r="I75" i="1"/>
  <c r="J74" i="1"/>
  <c r="H74" i="1"/>
  <c r="G74" i="1"/>
  <c r="I74" i="1" s="1"/>
  <c r="F74" i="1"/>
  <c r="D74" i="1"/>
  <c r="G73" i="1"/>
  <c r="I73" i="1" s="1"/>
  <c r="J72" i="1"/>
  <c r="I72" i="1"/>
  <c r="H72" i="1"/>
  <c r="G72" i="1"/>
  <c r="F69" i="1"/>
  <c r="D69" i="1"/>
  <c r="F68" i="1"/>
  <c r="D68" i="1"/>
  <c r="J67" i="1"/>
  <c r="J66" i="1"/>
  <c r="I66" i="1"/>
  <c r="J65" i="1"/>
  <c r="I65" i="1"/>
  <c r="J64" i="1"/>
  <c r="I64" i="1"/>
  <c r="J63" i="1"/>
  <c r="I63" i="1"/>
  <c r="J62" i="1"/>
  <c r="I62" i="1"/>
  <c r="G61" i="1"/>
  <c r="I61" i="1" s="1"/>
  <c r="F61" i="1"/>
  <c r="F86" i="1" s="1"/>
  <c r="D61" i="1"/>
  <c r="J60" i="1"/>
  <c r="I60" i="1"/>
  <c r="H60" i="1"/>
  <c r="G60" i="1"/>
  <c r="H59" i="1"/>
  <c r="H71" i="1" s="1"/>
  <c r="G59" i="1"/>
  <c r="I59" i="1" s="1"/>
  <c r="F59" i="1"/>
  <c r="F57" i="1" s="1"/>
  <c r="F56" i="1" s="1"/>
  <c r="D57" i="1"/>
  <c r="D56" i="1" s="1"/>
  <c r="H53" i="1"/>
  <c r="G53" i="1"/>
  <c r="J53" i="1" s="1"/>
  <c r="J52" i="1"/>
  <c r="I52" i="1"/>
  <c r="J50" i="1"/>
  <c r="J49" i="1"/>
  <c r="I49" i="1"/>
  <c r="J48" i="1"/>
  <c r="H48" i="1"/>
  <c r="H58" i="1" s="1"/>
  <c r="G48" i="1"/>
  <c r="I48" i="1" s="1"/>
  <c r="H47" i="1"/>
  <c r="J47" i="1" s="1"/>
  <c r="G47" i="1"/>
  <c r="I47" i="1" s="1"/>
  <c r="F47" i="1"/>
  <c r="D47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G21" i="1"/>
  <c r="I21" i="1" s="1"/>
  <c r="F21" i="1"/>
  <c r="D21" i="1"/>
  <c r="G20" i="1"/>
  <c r="I20" i="1" s="1"/>
  <c r="F19" i="1"/>
  <c r="F18" i="1" s="1"/>
  <c r="D19" i="1"/>
  <c r="D18" i="1" s="1"/>
  <c r="J17" i="1"/>
  <c r="I17" i="1"/>
  <c r="J16" i="1"/>
  <c r="I16" i="1"/>
  <c r="J15" i="1"/>
  <c r="I15" i="1"/>
  <c r="J14" i="1"/>
  <c r="I14" i="1"/>
  <c r="J13" i="1"/>
  <c r="I13" i="1"/>
  <c r="G12" i="1"/>
  <c r="H12" i="1" s="1"/>
  <c r="J12" i="1" s="1"/>
  <c r="G11" i="1"/>
  <c r="H11" i="1" s="1"/>
  <c r="F10" i="1"/>
  <c r="D10" i="1"/>
  <c r="F9" i="1"/>
  <c r="D9" i="1"/>
  <c r="J11" i="1" l="1"/>
  <c r="H10" i="1"/>
  <c r="H16" i="2"/>
  <c r="J16" i="2" s="1"/>
  <c r="I16" i="2"/>
  <c r="F82" i="1"/>
  <c r="F81" i="1" s="1"/>
  <c r="H70" i="1"/>
  <c r="J58" i="1"/>
  <c r="H57" i="1"/>
  <c r="J71" i="1"/>
  <c r="H21" i="1"/>
  <c r="J21" i="1" s="1"/>
  <c r="I11" i="1"/>
  <c r="G71" i="1"/>
  <c r="I80" i="1"/>
  <c r="I85" i="1"/>
  <c r="D14" i="2"/>
  <c r="J59" i="1"/>
  <c r="F23" i="2"/>
  <c r="I12" i="1"/>
  <c r="H20" i="1"/>
  <c r="I53" i="1"/>
  <c r="F14" i="2"/>
  <c r="H23" i="2"/>
  <c r="J23" i="2" s="1"/>
  <c r="H18" i="2"/>
  <c r="J18" i="2" s="1"/>
  <c r="J61" i="1"/>
  <c r="G19" i="2"/>
  <c r="G17" i="2"/>
  <c r="G19" i="1"/>
  <c r="G10" i="1"/>
  <c r="G58" i="1"/>
  <c r="G86" i="1"/>
  <c r="J20" i="1" l="1"/>
  <c r="H19" i="1"/>
  <c r="I58" i="1"/>
  <c r="G70" i="1"/>
  <c r="G57" i="1"/>
  <c r="H56" i="1"/>
  <c r="J57" i="1"/>
  <c r="J86" i="1"/>
  <c r="I86" i="1"/>
  <c r="H69" i="1"/>
  <c r="J70" i="1"/>
  <c r="I17" i="2"/>
  <c r="H17" i="2"/>
  <c r="J17" i="2" s="1"/>
  <c r="H19" i="2"/>
  <c r="J19" i="2" s="1"/>
  <c r="I19" i="2"/>
  <c r="G9" i="1"/>
  <c r="I9" i="1" s="1"/>
  <c r="I10" i="1"/>
  <c r="G18" i="1"/>
  <c r="I18" i="1" s="1"/>
  <c r="I19" i="1"/>
  <c r="J10" i="1"/>
  <c r="H9" i="1"/>
  <c r="J9" i="1" s="1"/>
  <c r="G84" i="1"/>
  <c r="I71" i="1"/>
  <c r="H68" i="1" l="1"/>
  <c r="I84" i="1"/>
  <c r="J84" i="1"/>
  <c r="G56" i="1"/>
  <c r="I56" i="1" s="1"/>
  <c r="I57" i="1"/>
  <c r="I70" i="1"/>
  <c r="G69" i="1"/>
  <c r="H18" i="1"/>
  <c r="J18" i="1" s="1"/>
  <c r="J19" i="1"/>
  <c r="J56" i="1"/>
  <c r="G83" i="1"/>
  <c r="J83" i="1" l="1"/>
  <c r="I83" i="1"/>
  <c r="G82" i="1"/>
  <c r="I69" i="1"/>
  <c r="G68" i="1"/>
  <c r="I68" i="1" s="1"/>
  <c r="J68" i="1"/>
  <c r="J69" i="1"/>
  <c r="G81" i="1" l="1"/>
  <c r="I82" i="1"/>
  <c r="J82" i="1"/>
  <c r="J81" i="1" l="1"/>
  <c r="I81" i="1"/>
  <c r="H73" i="1"/>
  <c r="J73" i="1" s="1"/>
</calcChain>
</file>

<file path=xl/sharedStrings.xml><?xml version="1.0" encoding="utf-8"?>
<sst xmlns="http://schemas.openxmlformats.org/spreadsheetml/2006/main" count="214" uniqueCount="104">
  <si>
    <t>CÔNG TY TNHH MỘT THÀNH VIÊN XỔ SỐ KIẾN THIẾT VĨNH PHÚC</t>
  </si>
  <si>
    <t>Biểu số 1</t>
  </si>
  <si>
    <t>(Theo Phụ lục số 02 Mẫu số 01 TT số 36/2021/TT-BTC)</t>
  </si>
  <si>
    <t xml:space="preserve">KẾ HOẠCH TÀI CHÍNH NĂM 2024 </t>
  </si>
  <si>
    <t>(Kèm theo Kế hoạch số   307 /KH-XSKT ngày  24 tháng 7 năm 2023)</t>
  </si>
  <si>
    <t>Chỉ tiêu</t>
  </si>
  <si>
    <t>Mã chỉ tiêu</t>
  </si>
  <si>
    <t>Đơn vị tính</t>
  </si>
  <si>
    <t>NĂM 2022</t>
  </si>
  <si>
    <t>NĂM 2023</t>
  </si>
  <si>
    <t>Kế hoạch 2024</t>
  </si>
  <si>
    <t>So sánh TH/KH (%)</t>
  </si>
  <si>
    <t>So sánh KH/TH năm BC (%)</t>
  </si>
  <si>
    <t>Kế hoạch năm</t>
  </si>
  <si>
    <t>Thực hiện đến 30/06</t>
  </si>
  <si>
    <t>Ước thực hiện năm</t>
  </si>
  <si>
    <t>A- CÁC CHỈ TIÊU VỀ SẢN XUẤT KINH DOANH</t>
  </si>
  <si>
    <t>I- Sản lượng</t>
  </si>
  <si>
    <t>1. Sản lượng sản xuất chủ yếu</t>
  </si>
  <si>
    <t>a) Sản phẩm SX trong nước (vé phát hành)</t>
  </si>
  <si>
    <t>Xố số truyền thống</t>
  </si>
  <si>
    <t>Vé</t>
  </si>
  <si>
    <t>Xổ số khác (cào, bóc, lô tô)</t>
  </si>
  <si>
    <t>.......</t>
  </si>
  <si>
    <t>b) Sản phẩm xuất khẩu</t>
  </si>
  <si>
    <t>- Sản phẩm C</t>
  </si>
  <si>
    <t>- Sản phẩm D</t>
  </si>
  <si>
    <t>........</t>
  </si>
  <si>
    <t>2. Sản lượng sản phẩm tiêu thụ</t>
  </si>
  <si>
    <t>a) Sản phẩm tiêu thụ trong nước</t>
  </si>
  <si>
    <t>b) Các sản phẩm xuất khẩu</t>
  </si>
  <si>
    <t>..........</t>
  </si>
  <si>
    <t>3. Giá thành đơn vị SP chủ yếu</t>
  </si>
  <si>
    <t>- Sản phẩm A</t>
  </si>
  <si>
    <t>- Sản phẩm B</t>
  </si>
  <si>
    <t>...........</t>
  </si>
  <si>
    <t>4. Giá bán các sản phẩm chủ yếu</t>
  </si>
  <si>
    <t>.........</t>
  </si>
  <si>
    <t>B- CÁC CHỈ TIÊU TÀI CHÍNH</t>
  </si>
  <si>
    <t>I. Kết quả kinh doanh</t>
  </si>
  <si>
    <t>1. Tổng doanh thu</t>
  </si>
  <si>
    <t>triệu đồng</t>
  </si>
  <si>
    <t>a. Doanh thu thuần (hoạt động xổ số)</t>
  </si>
  <si>
    <t>10-BCKQKD</t>
  </si>
  <si>
    <t>b. Doanh thu hoạt động tài chính</t>
  </si>
  <si>
    <t>21-BCKQKD</t>
  </si>
  <si>
    <t>c. Doanh thu khác</t>
  </si>
  <si>
    <t>31-BCKQKD</t>
  </si>
  <si>
    <t>2. Lãi phát sinh</t>
  </si>
  <si>
    <t>a. Trước thuế TNDN</t>
  </si>
  <si>
    <t>50-BCKQKD</t>
  </si>
  <si>
    <t>b. Sau thuế TNDN</t>
  </si>
  <si>
    <t>60-BCKQKD</t>
  </si>
  <si>
    <t>3. Lỗ phát sinh</t>
  </si>
  <si>
    <t>4. Lỗ lũy kế</t>
  </si>
  <si>
    <t>II. Thuế và các khoản phát sinh phải nộp NSNN</t>
  </si>
  <si>
    <t>1. Từ hoạt động KD nội địa</t>
  </si>
  <si>
    <t>a. Thuế GTGT</t>
  </si>
  <si>
    <t>b. Thuế tiêu thụ đặc biệt</t>
  </si>
  <si>
    <t>c. Thuế TNDN</t>
  </si>
  <si>
    <t>d. Các khoản thuế, phí phải nộp khác</t>
  </si>
  <si>
    <t>2. Từ hoạt động kinh doanh XNK</t>
  </si>
  <si>
    <t>a. Thuế XNK</t>
  </si>
  <si>
    <t>b. Thuế GTGT hàng nhập khẩu</t>
  </si>
  <si>
    <t>c. Thuế TTĐB hàng nhập khẩu</t>
  </si>
  <si>
    <t>d. Chênh lệch giá hàng nhập khẩu</t>
  </si>
  <si>
    <t>3. Thu từ lợi nhuận sau thuế</t>
  </si>
  <si>
    <t>III. Thuế và các khoản đã nộp NSNN</t>
  </si>
  <si>
    <t>Trong đó số nộp cho phát sinh năm trước</t>
  </si>
  <si>
    <t>a. Thuế XXK</t>
  </si>
  <si>
    <t>IV. Nợ thuế</t>
  </si>
  <si>
    <t>1. Nợ thuế từ hoạt động KD nội địa</t>
  </si>
  <si>
    <t>b, Thuế tiêu thụ đặc biệt</t>
  </si>
  <si>
    <t>VI. Các khoản chi NSNN</t>
  </si>
  <si>
    <t>1. Chi bổ sung vốn điều lệ</t>
  </si>
  <si>
    <t>2. Chi khác</t>
  </si>
  <si>
    <t>Ghi chú: Doanh thu có thuế từ hoạt động xổ số</t>
  </si>
  <si>
    <t>CÔNG TY TNHH MTV XỔ SỐ KIẾN THIẾT VĨNH PHÚC</t>
  </si>
  <si>
    <t>Biểu số 2</t>
  </si>
  <si>
    <t>BẢNG TỔNG HỢP KẾ HOẠCH SẢN XUẤT KINH DOANH NĂM 2024</t>
  </si>
  <si>
    <t>TT</t>
  </si>
  <si>
    <t>Nội dung</t>
  </si>
  <si>
    <t>ĐV tính</t>
  </si>
  <si>
    <t>Kế hoạch năm 2024</t>
  </si>
  <si>
    <t>Số lượng các loại vé số bán trong năm</t>
  </si>
  <si>
    <t>-</t>
  </si>
  <si>
    <t>  Vé truyền thống</t>
  </si>
  <si>
    <t>Vé bóc</t>
  </si>
  <si>
    <t>Vé lô tô 2,3,4 số</t>
  </si>
  <si>
    <t>Vé lô tô cặp số</t>
  </si>
  <si>
    <t>Tổng doanh số (có thuế)</t>
  </si>
  <si>
    <t>Trđ</t>
  </si>
  <si>
    <t>Doanh số hoạt động xổ số (có thuế)</t>
  </si>
  <si>
    <t>+</t>
  </si>
  <si>
    <t>Doanh số từ các hoạt động kinh doanh khác</t>
  </si>
  <si>
    <t>Hoạt động tài chính</t>
  </si>
  <si>
    <t>Hoạt động khác</t>
  </si>
  <si>
    <t>Tổng chi phí</t>
  </si>
  <si>
    <t>Lợi nhuận trước thuế</t>
  </si>
  <si>
    <t>Nộp ngân sách</t>
  </si>
  <si>
    <t>Thu nhập bình quân đầu người</t>
  </si>
  <si>
    <t>Trđ/ người/ tháng</t>
  </si>
  <si>
    <t>Số lao động</t>
  </si>
  <si>
    <t>Người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</si>
</sst>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</numFmts>
  <fonts count="20" x14ac:knownFonts="1">
    <font>
      <sz val="10"/>
      <color theme="1"/>
      <name val="Calibri"/>
      <scheme val="minor"/>
    </font>
    <font>
      <sz val="10"/>
      <color theme="1"/>
      <name val=".VnTime"/>
    </font>
    <font>
      <sz val="10"/>
      <color indexed="64"/>
      <name val=".VnTime"/>
    </font>
    <font>
      <sz val="10"/>
      <color theme="1"/>
      <name val="Times New Roman"/>
    </font>
    <font>
      <b/>
      <sz val="11"/>
      <name val="Times New Roman"/>
    </font>
    <font>
      <b/>
      <sz val="10"/>
      <color theme="1"/>
      <name val="Times New Roman"/>
    </font>
    <font>
      <sz val="10"/>
      <name val="Times New Roman"/>
    </font>
    <font>
      <b/>
      <sz val="12"/>
      <name val="Times New Roman"/>
    </font>
    <font>
      <i/>
      <sz val="12"/>
      <name val="Times New Roman"/>
    </font>
    <font>
      <b/>
      <sz val="1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b/>
      <sz val="14"/>
      <color indexed="64"/>
      <name val="Times New Roman"/>
    </font>
    <font>
      <b/>
      <sz val="10"/>
      <color indexed="64"/>
      <name val="Times New Roman"/>
    </font>
    <font>
      <i/>
      <sz val="8"/>
      <color indexed="64"/>
      <name val="Times New Roman"/>
    </font>
    <font>
      <b/>
      <i/>
      <sz val="10"/>
      <color indexed="64"/>
      <name val="Times New Roman"/>
    </font>
    <font>
      <b/>
      <i/>
      <sz val="10"/>
      <name val="Times New Roman"/>
    </font>
    <font>
      <sz val="10"/>
      <color indexed="64"/>
      <name val="Times New Roman"/>
    </font>
    <font>
      <i/>
      <sz val="1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/>
    <xf numFmtId="43" fontId="1" fillId="0" borderId="0"/>
    <xf numFmtId="0" fontId="2" fillId="0" borderId="0"/>
    <xf numFmtId="9" fontId="1" fillId="0" borderId="0"/>
  </cellStyleXfs>
  <cellXfs count="115">
    <xf numFmtId="0" fontId="0" fillId="0" borderId="0" xfId="0"/>
    <xf numFmtId="164" fontId="3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justify" shrinkToFit="1"/>
    </xf>
    <xf numFmtId="164" fontId="6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justify" shrinkToFit="1"/>
    </xf>
    <xf numFmtId="164" fontId="6" fillId="0" borderId="3" xfId="0" applyNumberFormat="1" applyFont="1" applyBorder="1" applyAlignment="1">
      <alignment horizontal="center" vertical="center" shrinkToFit="1"/>
    </xf>
    <xf numFmtId="3" fontId="9" fillId="0" borderId="3" xfId="0" applyNumberFormat="1" applyFont="1" applyBorder="1" applyAlignment="1">
      <alignment horizontal="right" vertical="center" wrapText="1"/>
    </xf>
    <xf numFmtId="9" fontId="9" fillId="0" borderId="3" xfId="4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justify" shrinkToFit="1"/>
    </xf>
    <xf numFmtId="3" fontId="6" fillId="0" borderId="3" xfId="0" applyNumberFormat="1" applyFont="1" applyBorder="1" applyAlignment="1">
      <alignment horizontal="right" vertical="center" wrapText="1"/>
    </xf>
    <xf numFmtId="9" fontId="6" fillId="0" borderId="3" xfId="4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shrinkToFi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justify" shrinkToFit="1"/>
    </xf>
    <xf numFmtId="164" fontId="6" fillId="0" borderId="4" xfId="0" applyNumberFormat="1" applyFont="1" applyBorder="1" applyAlignment="1">
      <alignment horizontal="center" vertical="center" shrinkToFit="1"/>
    </xf>
    <xf numFmtId="164" fontId="6" fillId="0" borderId="4" xfId="0" applyNumberFormat="1" applyFont="1" applyBorder="1" applyAlignment="1">
      <alignment horizontal="right" vertical="center" wrapText="1"/>
    </xf>
    <xf numFmtId="9" fontId="6" fillId="0" borderId="4" xfId="4" applyNumberFormat="1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justify" shrinkToFit="1"/>
    </xf>
    <xf numFmtId="164" fontId="6" fillId="0" borderId="5" xfId="0" applyNumberFormat="1" applyFont="1" applyBorder="1" applyAlignment="1">
      <alignment horizontal="center" vertical="center" shrinkToFit="1"/>
    </xf>
    <xf numFmtId="164" fontId="9" fillId="0" borderId="5" xfId="0" applyNumberFormat="1" applyFont="1" applyBorder="1" applyAlignment="1">
      <alignment horizontal="right" vertical="center" wrapText="1"/>
    </xf>
    <xf numFmtId="9" fontId="6" fillId="0" borderId="5" xfId="4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justify" shrinkToFit="1"/>
    </xf>
    <xf numFmtId="164" fontId="6" fillId="0" borderId="0" xfId="0" applyNumberFormat="1" applyFont="1" applyAlignment="1">
      <alignment horizontal="center" vertical="center" shrinkToFit="1"/>
    </xf>
    <xf numFmtId="164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horizontal="justify" wrapText="1"/>
    </xf>
    <xf numFmtId="164" fontId="6" fillId="0" borderId="0" xfId="0" applyNumberFormat="1" applyFont="1" applyAlignment="1">
      <alignment horizontal="center" vertical="center" wrapText="1"/>
    </xf>
    <xf numFmtId="164" fontId="10" fillId="0" borderId="0" xfId="0" applyNumberFormat="1" applyFont="1"/>
    <xf numFmtId="164" fontId="11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justify" vertical="center"/>
    </xf>
    <xf numFmtId="164" fontId="8" fillId="0" borderId="0" xfId="0" applyNumberFormat="1" applyFont="1" applyAlignment="1">
      <alignment horizontal="justify" vertical="center"/>
    </xf>
    <xf numFmtId="16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0" fontId="3" fillId="0" borderId="0" xfId="0" applyFont="1"/>
    <xf numFmtId="0" fontId="3" fillId="2" borderId="0" xfId="0" applyFont="1" applyFill="1"/>
    <xf numFmtId="165" fontId="3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0" xfId="3" applyFont="1" applyAlignment="1">
      <alignment horizontal="center"/>
    </xf>
    <xf numFmtId="0" fontId="14" fillId="2" borderId="0" xfId="3" applyFont="1" applyFill="1" applyAlignment="1">
      <alignment horizont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justify" vertical="center" wrapText="1"/>
    </xf>
    <xf numFmtId="0" fontId="16" fillId="0" borderId="2" xfId="3" applyFont="1" applyBorder="1" applyAlignment="1">
      <alignment horizontal="center" vertical="center" wrapText="1"/>
    </xf>
    <xf numFmtId="165" fontId="17" fillId="2" borderId="2" xfId="3" applyNumberFormat="1" applyFont="1" applyFill="1" applyBorder="1" applyAlignment="1">
      <alignment horizontal="center" vertical="center" wrapText="1"/>
    </xf>
    <xf numFmtId="165" fontId="9" fillId="2" borderId="2" xfId="1" applyNumberFormat="1" applyFont="1" applyFill="1" applyBorder="1" applyAlignment="1">
      <alignment vertical="center" shrinkToFit="1"/>
    </xf>
    <xf numFmtId="3" fontId="6" fillId="2" borderId="3" xfId="0" applyNumberFormat="1" applyFont="1" applyFill="1" applyBorder="1" applyAlignment="1">
      <alignment horizontal="right" vertical="center" wrapText="1"/>
    </xf>
    <xf numFmtId="9" fontId="14" fillId="0" borderId="2" xfId="4" applyNumberFormat="1" applyFont="1" applyBorder="1" applyAlignment="1">
      <alignment horizontal="right" vertical="center" shrinkToFit="1"/>
    </xf>
    <xf numFmtId="0" fontId="18" fillId="0" borderId="3" xfId="3" quotePrefix="1" applyFont="1" applyBorder="1" applyAlignment="1">
      <alignment horizontal="center" vertical="center" wrapText="1"/>
    </xf>
    <xf numFmtId="0" fontId="18" fillId="0" borderId="3" xfId="3" quotePrefix="1" applyFont="1" applyBorder="1" applyAlignment="1">
      <alignment horizontal="justify" vertical="center" wrapText="1"/>
    </xf>
    <xf numFmtId="0" fontId="19" fillId="0" borderId="3" xfId="3" applyFont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right" vertical="center" wrapText="1"/>
    </xf>
    <xf numFmtId="9" fontId="6" fillId="0" borderId="3" xfId="4" applyNumberFormat="1" applyFont="1" applyBorder="1" applyAlignment="1">
      <alignment horizontal="right" vertical="center" shrinkToFit="1"/>
    </xf>
    <xf numFmtId="3" fontId="3" fillId="2" borderId="0" xfId="0" applyNumberFormat="1" applyFont="1" applyFill="1"/>
    <xf numFmtId="165" fontId="6" fillId="2" borderId="3" xfId="3" applyNumberFormat="1" applyFont="1" applyFill="1" applyBorder="1" applyAlignment="1">
      <alignment horizontal="right" vertical="center" shrinkToFit="1"/>
    </xf>
    <xf numFmtId="165" fontId="6" fillId="0" borderId="3" xfId="3" applyNumberFormat="1" applyFont="1" applyBorder="1" applyAlignment="1">
      <alignment horizontal="right" vertical="center" shrinkToFit="1"/>
    </xf>
    <xf numFmtId="165" fontId="3" fillId="2" borderId="0" xfId="1" applyNumberFormat="1" applyFont="1" applyFill="1"/>
    <xf numFmtId="0" fontId="14" fillId="0" borderId="3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justify" vertical="center" wrapText="1"/>
    </xf>
    <xf numFmtId="0" fontId="16" fillId="0" borderId="3" xfId="3" applyFont="1" applyBorder="1" applyAlignment="1">
      <alignment horizontal="center" vertical="center" wrapText="1"/>
    </xf>
    <xf numFmtId="166" fontId="17" fillId="2" borderId="3" xfId="3" applyNumberFormat="1" applyFont="1" applyFill="1" applyBorder="1" applyAlignment="1">
      <alignment horizontal="center" vertical="center" wrapText="1"/>
    </xf>
    <xf numFmtId="165" fontId="14" fillId="2" borderId="3" xfId="1" applyNumberFormat="1" applyFont="1" applyFill="1" applyBorder="1" applyAlignment="1">
      <alignment horizontal="right" vertical="center" shrinkToFit="1"/>
    </xf>
    <xf numFmtId="165" fontId="9" fillId="2" borderId="3" xfId="1" applyNumberFormat="1" applyFont="1" applyFill="1" applyBorder="1" applyAlignment="1">
      <alignment horizontal="right" vertical="center" shrinkToFit="1"/>
    </xf>
    <xf numFmtId="165" fontId="14" fillId="0" borderId="3" xfId="1" applyNumberFormat="1" applyFont="1" applyBorder="1" applyAlignment="1">
      <alignment horizontal="right" vertical="center" shrinkToFit="1"/>
    </xf>
    <xf numFmtId="9" fontId="14" fillId="0" borderId="3" xfId="4" applyNumberFormat="1" applyFont="1" applyBorder="1" applyAlignment="1">
      <alignment horizontal="right" vertical="center" shrinkToFit="1"/>
    </xf>
    <xf numFmtId="0" fontId="18" fillId="0" borderId="3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justify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5" fontId="18" fillId="2" borderId="3" xfId="3" applyNumberFormat="1" applyFont="1" applyFill="1" applyBorder="1" applyAlignment="1">
      <alignment horizontal="right" vertical="center" shrinkToFit="1"/>
    </xf>
    <xf numFmtId="165" fontId="6" fillId="2" borderId="3" xfId="1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right" vertical="center" wrapText="1"/>
    </xf>
    <xf numFmtId="165" fontId="18" fillId="0" borderId="3" xfId="3" applyNumberFormat="1" applyFont="1" applyBorder="1" applyAlignment="1">
      <alignment horizontal="right" vertical="center" shrinkToFit="1"/>
    </xf>
    <xf numFmtId="9" fontId="18" fillId="0" borderId="3" xfId="4" applyNumberFormat="1" applyFont="1" applyBorder="1" applyAlignment="1">
      <alignment horizontal="right" vertical="center" shrinkToFit="1"/>
    </xf>
    <xf numFmtId="166" fontId="6" fillId="2" borderId="3" xfId="3" applyNumberFormat="1" applyFont="1" applyFill="1" applyBorder="1" applyAlignment="1">
      <alignment horizontal="right" vertical="center" shrinkToFit="1"/>
    </xf>
    <xf numFmtId="165" fontId="3" fillId="0" borderId="0" xfId="0" applyNumberFormat="1" applyFont="1"/>
    <xf numFmtId="165" fontId="18" fillId="2" borderId="3" xfId="1" applyNumberFormat="1" applyFont="1" applyFill="1" applyBorder="1" applyAlignment="1">
      <alignment horizontal="right" vertical="center" shrinkToFit="1"/>
    </xf>
    <xf numFmtId="166" fontId="6" fillId="2" borderId="3" xfId="1" applyNumberFormat="1" applyFont="1" applyFill="1" applyBorder="1" applyAlignment="1">
      <alignment horizontal="right" vertical="center" shrinkToFit="1"/>
    </xf>
    <xf numFmtId="165" fontId="18" fillId="0" borderId="3" xfId="1" applyNumberFormat="1" applyFont="1" applyBorder="1" applyAlignment="1">
      <alignment horizontal="right" vertical="center" shrinkToFit="1"/>
    </xf>
    <xf numFmtId="165" fontId="9" fillId="2" borderId="3" xfId="3" applyNumberFormat="1" applyFont="1" applyFill="1" applyBorder="1" applyAlignment="1">
      <alignment horizontal="center" vertical="center" wrapText="1"/>
    </xf>
    <xf numFmtId="165" fontId="9" fillId="0" borderId="3" xfId="3" applyNumberFormat="1" applyFont="1" applyBorder="1" applyAlignment="1">
      <alignment horizontal="center" vertical="center" wrapText="1"/>
    </xf>
    <xf numFmtId="166" fontId="9" fillId="2" borderId="3" xfId="1" applyNumberFormat="1" applyFont="1" applyFill="1" applyBorder="1" applyAlignment="1">
      <alignment horizontal="right" vertical="center" wrapText="1"/>
    </xf>
    <xf numFmtId="166" fontId="9" fillId="2" borderId="3" xfId="1" applyNumberFormat="1" applyFont="1" applyFill="1" applyBorder="1" applyAlignment="1">
      <alignment horizontal="right" vertical="center" shrinkToFit="1"/>
    </xf>
    <xf numFmtId="165" fontId="9" fillId="2" borderId="3" xfId="1" applyNumberFormat="1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right" vertical="center" wrapText="1"/>
    </xf>
    <xf numFmtId="0" fontId="9" fillId="2" borderId="3" xfId="3" applyFont="1" applyFill="1" applyBorder="1" applyAlignment="1">
      <alignment horizontal="right" vertical="center" shrinkToFit="1"/>
    </xf>
    <xf numFmtId="0" fontId="9" fillId="0" borderId="3" xfId="3" applyFont="1" applyBorder="1" applyAlignment="1">
      <alignment horizontal="right" vertical="center" shrinkToFit="1"/>
    </xf>
    <xf numFmtId="9" fontId="9" fillId="0" borderId="3" xfId="4" applyNumberFormat="1" applyFont="1" applyBorder="1" applyAlignment="1">
      <alignment horizontal="right" vertical="center" shrinkToFit="1"/>
    </xf>
    <xf numFmtId="0" fontId="14" fillId="0" borderId="4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justify" vertical="center" wrapText="1"/>
    </xf>
    <xf numFmtId="0" fontId="16" fillId="0" borderId="4" xfId="3" applyFont="1" applyBorder="1" applyAlignment="1">
      <alignment horizontal="center" vertical="center" wrapText="1"/>
    </xf>
    <xf numFmtId="0" fontId="9" fillId="2" borderId="4" xfId="3" applyFont="1" applyFill="1" applyBorder="1" applyAlignment="1">
      <alignment horizontal="right" vertical="center" wrapText="1"/>
    </xf>
    <xf numFmtId="0" fontId="9" fillId="2" borderId="4" xfId="3" applyFont="1" applyFill="1" applyBorder="1" applyAlignment="1">
      <alignment horizontal="right" vertical="center" shrinkToFit="1"/>
    </xf>
    <xf numFmtId="0" fontId="9" fillId="0" borderId="4" xfId="3" applyFont="1" applyBorder="1" applyAlignment="1">
      <alignment horizontal="right" vertical="center" shrinkToFit="1"/>
    </xf>
    <xf numFmtId="9" fontId="9" fillId="0" borderId="4" xfId="4" applyNumberFormat="1" applyFont="1" applyBorder="1" applyAlignment="1">
      <alignment horizontal="right" vertical="center" shrinkToFit="1"/>
    </xf>
    <xf numFmtId="0" fontId="9" fillId="0" borderId="0" xfId="3" applyFont="1" applyAlignment="1">
      <alignment horizontal="right" vertical="center" shrinkToFit="1"/>
    </xf>
    <xf numFmtId="164" fontId="10" fillId="2" borderId="0" xfId="0" applyNumberFormat="1" applyFont="1" applyFill="1"/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0" borderId="0" xfId="3" applyFont="1" applyAlignment="1">
      <alignment horizontal="center"/>
    </xf>
    <xf numFmtId="0" fontId="14" fillId="0" borderId="1" xfId="3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omma 2" xfId="2"/>
    <cellStyle name="Normal" xfId="0" builtinId="0"/>
    <cellStyle name="Normal_Sheet3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</sheetPr>
  <dimension ref="A1:J108"/>
  <sheetViews>
    <sheetView workbookViewId="0">
      <selection activeCell="D12" sqref="D12"/>
    </sheetView>
  </sheetViews>
  <sheetFormatPr defaultColWidth="9.109375" defaultRowHeight="13.2" x14ac:dyDescent="0.25"/>
  <cols>
    <col min="1" max="1" width="46" style="1" customWidth="1"/>
    <col min="2" max="2" width="13.33203125" style="1" customWidth="1"/>
    <col min="3" max="3" width="8.6640625" style="1" customWidth="1"/>
    <col min="4" max="4" width="12.6640625" style="1" customWidth="1"/>
    <col min="5" max="6" width="11.6640625" style="1" customWidth="1"/>
    <col min="7" max="7" width="11.88671875" style="1" customWidth="1"/>
    <col min="8" max="8" width="12.44140625" style="1" customWidth="1"/>
    <col min="9" max="9" width="12.6640625" style="1" customWidth="1"/>
    <col min="10" max="10" width="12.88671875" style="1" customWidth="1"/>
    <col min="11" max="11" width="14.44140625" style="1" customWidth="1"/>
    <col min="12" max="16384" width="9.109375" style="1"/>
  </cols>
  <sheetData>
    <row r="1" spans="1:10" ht="17.399999999999999" customHeight="1" x14ac:dyDescent="0.25">
      <c r="A1" s="106" t="s">
        <v>0</v>
      </c>
      <c r="B1" s="106"/>
      <c r="C1" s="106"/>
      <c r="D1" s="106"/>
      <c r="I1" s="105" t="s">
        <v>1</v>
      </c>
      <c r="J1" s="105"/>
    </row>
    <row r="2" spans="1:10" x14ac:dyDescent="0.25">
      <c r="I2" s="107" t="s">
        <v>2</v>
      </c>
      <c r="J2" s="107"/>
    </row>
    <row r="3" spans="1:10" ht="15.6" x14ac:dyDescent="0.25">
      <c r="A3" s="108" t="s">
        <v>3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5.6" x14ac:dyDescent="0.25">
      <c r="A4" s="109" t="s">
        <v>4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 ht="25.95" customHeight="1" x14ac:dyDescent="0.25">
      <c r="A5" s="110" t="s">
        <v>5</v>
      </c>
      <c r="B5" s="110" t="s">
        <v>6</v>
      </c>
      <c r="C5" s="110" t="s">
        <v>7</v>
      </c>
      <c r="D5" s="110" t="s">
        <v>8</v>
      </c>
      <c r="E5" s="110" t="s">
        <v>9</v>
      </c>
      <c r="F5" s="110"/>
      <c r="G5" s="110"/>
      <c r="H5" s="110" t="s">
        <v>10</v>
      </c>
      <c r="I5" s="110" t="s">
        <v>11</v>
      </c>
      <c r="J5" s="110" t="s">
        <v>12</v>
      </c>
    </row>
    <row r="6" spans="1:10" ht="26.4" x14ac:dyDescent="0.25">
      <c r="A6" s="110"/>
      <c r="B6" s="110"/>
      <c r="C6" s="110"/>
      <c r="D6" s="110"/>
      <c r="E6" s="4" t="s">
        <v>13</v>
      </c>
      <c r="F6" s="4" t="s">
        <v>14</v>
      </c>
      <c r="G6" s="4" t="s">
        <v>15</v>
      </c>
      <c r="H6" s="110"/>
      <c r="I6" s="110"/>
      <c r="J6" s="110"/>
    </row>
    <row r="7" spans="1:10" x14ac:dyDescent="0.25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</row>
    <row r="8" spans="1:10" x14ac:dyDescent="0.25">
      <c r="A8" s="7" t="s">
        <v>17</v>
      </c>
      <c r="B8" s="8"/>
      <c r="C8" s="8"/>
      <c r="D8" s="9"/>
      <c r="E8" s="9"/>
      <c r="F8" s="9"/>
      <c r="G8" s="9"/>
      <c r="H8" s="9"/>
      <c r="I8" s="10"/>
      <c r="J8" s="10"/>
    </row>
    <row r="9" spans="1:10" x14ac:dyDescent="0.25">
      <c r="A9" s="11" t="s">
        <v>18</v>
      </c>
      <c r="B9" s="8"/>
      <c r="C9" s="8"/>
      <c r="D9" s="12">
        <f>+D10</f>
        <v>15488826</v>
      </c>
      <c r="E9" s="12">
        <v>15893441</v>
      </c>
      <c r="F9" s="12">
        <f>+F10</f>
        <v>7399836</v>
      </c>
      <c r="G9" s="12">
        <f>+G10</f>
        <v>14215566</v>
      </c>
      <c r="H9" s="12">
        <f>+H10</f>
        <v>14787154</v>
      </c>
      <c r="I9" s="13">
        <f t="shared" ref="I9:I44" si="0">+G9/E9</f>
        <v>0.89442972104027063</v>
      </c>
      <c r="J9" s="13">
        <f t="shared" ref="J9:J44" si="1">+H9/G9</f>
        <v>1.0402085995028267</v>
      </c>
    </row>
    <row r="10" spans="1:10" x14ac:dyDescent="0.25">
      <c r="A10" s="14" t="s">
        <v>19</v>
      </c>
      <c r="B10" s="8"/>
      <c r="C10" s="8"/>
      <c r="D10" s="12">
        <f>+D11+D12</f>
        <v>15488826</v>
      </c>
      <c r="E10" s="12">
        <v>15893441</v>
      </c>
      <c r="F10" s="12">
        <f>+F11+F12</f>
        <v>7399836</v>
      </c>
      <c r="G10" s="12">
        <f>+G11+G12</f>
        <v>14215566</v>
      </c>
      <c r="H10" s="12">
        <f>+H11+H12</f>
        <v>14787154</v>
      </c>
      <c r="I10" s="13">
        <f t="shared" si="0"/>
        <v>0.89442972104027063</v>
      </c>
      <c r="J10" s="13">
        <f t="shared" si="1"/>
        <v>1.0402085995028267</v>
      </c>
    </row>
    <row r="11" spans="1:10" x14ac:dyDescent="0.25">
      <c r="A11" s="11" t="s">
        <v>20</v>
      </c>
      <c r="B11" s="8"/>
      <c r="C11" s="8" t="s">
        <v>21</v>
      </c>
      <c r="D11" s="12">
        <v>9354500</v>
      </c>
      <c r="E11" s="12">
        <v>9162900</v>
      </c>
      <c r="F11" s="12">
        <v>4625500</v>
      </c>
      <c r="G11" s="12">
        <f>+ROUND($G$97/$F$97*F11,-2)</f>
        <v>8885900</v>
      </c>
      <c r="H11" s="12">
        <f>+ROUND($H$97/$G$97*G11,-2)</f>
        <v>9243200</v>
      </c>
      <c r="I11" s="13">
        <f t="shared" si="0"/>
        <v>0.9697693961518733</v>
      </c>
      <c r="J11" s="13">
        <f t="shared" si="1"/>
        <v>1.0402097705353426</v>
      </c>
    </row>
    <row r="12" spans="1:10" x14ac:dyDescent="0.25">
      <c r="A12" s="11" t="s">
        <v>22</v>
      </c>
      <c r="B12" s="8"/>
      <c r="C12" s="8" t="s">
        <v>21</v>
      </c>
      <c r="D12" s="12">
        <v>6134326</v>
      </c>
      <c r="E12" s="12">
        <v>6730541</v>
      </c>
      <c r="F12" s="12">
        <v>2774336</v>
      </c>
      <c r="G12" s="12">
        <f>+ROUND($G$97/$F$97*F12,0)</f>
        <v>5329666</v>
      </c>
      <c r="H12" s="12">
        <f>+ROUND($H$97/$G$97*G12,0)</f>
        <v>5543954</v>
      </c>
      <c r="I12" s="13">
        <f t="shared" si="0"/>
        <v>0.79186294236971444</v>
      </c>
      <c r="J12" s="13">
        <f t="shared" si="1"/>
        <v>1.0402066470957092</v>
      </c>
    </row>
    <row r="13" spans="1:10" ht="16.2" hidden="1" customHeight="1" x14ac:dyDescent="0.25">
      <c r="A13" s="11" t="s">
        <v>23</v>
      </c>
      <c r="B13" s="8"/>
      <c r="C13" s="8"/>
      <c r="D13" s="15"/>
      <c r="E13" s="15"/>
      <c r="F13" s="15"/>
      <c r="G13" s="15"/>
      <c r="H13" s="15"/>
      <c r="I13" s="13" t="e">
        <f t="shared" si="0"/>
        <v>#DIV/0!</v>
      </c>
      <c r="J13" s="13" t="e">
        <f t="shared" si="1"/>
        <v>#DIV/0!</v>
      </c>
    </row>
    <row r="14" spans="1:10" hidden="1" x14ac:dyDescent="0.25">
      <c r="A14" s="11" t="s">
        <v>24</v>
      </c>
      <c r="B14" s="8"/>
      <c r="C14" s="8"/>
      <c r="D14" s="15"/>
      <c r="E14" s="15"/>
      <c r="F14" s="15"/>
      <c r="G14" s="15"/>
      <c r="H14" s="15"/>
      <c r="I14" s="13" t="e">
        <f t="shared" si="0"/>
        <v>#DIV/0!</v>
      </c>
      <c r="J14" s="13" t="e">
        <f t="shared" si="1"/>
        <v>#DIV/0!</v>
      </c>
    </row>
    <row r="15" spans="1:10" hidden="1" x14ac:dyDescent="0.25">
      <c r="A15" s="11" t="s">
        <v>25</v>
      </c>
      <c r="B15" s="8"/>
      <c r="C15" s="8"/>
      <c r="D15" s="15"/>
      <c r="E15" s="15"/>
      <c r="F15" s="15"/>
      <c r="G15" s="15"/>
      <c r="H15" s="15"/>
      <c r="I15" s="13" t="e">
        <f t="shared" si="0"/>
        <v>#DIV/0!</v>
      </c>
      <c r="J15" s="13" t="e">
        <f t="shared" si="1"/>
        <v>#DIV/0!</v>
      </c>
    </row>
    <row r="16" spans="1:10" hidden="1" x14ac:dyDescent="0.25">
      <c r="A16" s="11" t="s">
        <v>26</v>
      </c>
      <c r="B16" s="8"/>
      <c r="C16" s="8"/>
      <c r="D16" s="15"/>
      <c r="E16" s="15"/>
      <c r="F16" s="15"/>
      <c r="G16" s="15"/>
      <c r="H16" s="15"/>
      <c r="I16" s="13" t="e">
        <f t="shared" si="0"/>
        <v>#DIV/0!</v>
      </c>
      <c r="J16" s="13" t="e">
        <f t="shared" si="1"/>
        <v>#DIV/0!</v>
      </c>
    </row>
    <row r="17" spans="1:10" hidden="1" x14ac:dyDescent="0.25">
      <c r="A17" s="11" t="s">
        <v>27</v>
      </c>
      <c r="B17" s="8"/>
      <c r="C17" s="8"/>
      <c r="D17" s="15"/>
      <c r="E17" s="15"/>
      <c r="F17" s="15"/>
      <c r="G17" s="15"/>
      <c r="H17" s="15"/>
      <c r="I17" s="13" t="e">
        <f t="shared" si="0"/>
        <v>#DIV/0!</v>
      </c>
      <c r="J17" s="13" t="e">
        <f t="shared" si="1"/>
        <v>#DIV/0!</v>
      </c>
    </row>
    <row r="18" spans="1:10" x14ac:dyDescent="0.25">
      <c r="A18" s="11" t="s">
        <v>28</v>
      </c>
      <c r="B18" s="8"/>
      <c r="C18" s="8"/>
      <c r="D18" s="12">
        <f>+D19</f>
        <v>7425734</v>
      </c>
      <c r="E18" s="12">
        <v>8110173</v>
      </c>
      <c r="F18" s="12">
        <f>+F19</f>
        <v>3429475</v>
      </c>
      <c r="G18" s="12">
        <f>+G19</f>
        <v>6588227</v>
      </c>
      <c r="H18" s="12">
        <f>+H19</f>
        <v>6853117</v>
      </c>
      <c r="I18" s="13">
        <f t="shared" si="0"/>
        <v>0.81234111775420825</v>
      </c>
      <c r="J18" s="13">
        <f t="shared" si="1"/>
        <v>1.0402065684743407</v>
      </c>
    </row>
    <row r="19" spans="1:10" x14ac:dyDescent="0.25">
      <c r="A19" s="14" t="s">
        <v>29</v>
      </c>
      <c r="B19" s="8"/>
      <c r="C19" s="8"/>
      <c r="D19" s="12">
        <f>+D20+D21</f>
        <v>7425734</v>
      </c>
      <c r="E19" s="12">
        <v>8110173</v>
      </c>
      <c r="F19" s="12">
        <f>+F20+F21</f>
        <v>3429475</v>
      </c>
      <c r="G19" s="12">
        <f>+G20+G21</f>
        <v>6588227</v>
      </c>
      <c r="H19" s="12">
        <f>+H20+H21</f>
        <v>6853117</v>
      </c>
      <c r="I19" s="13">
        <f t="shared" si="0"/>
        <v>0.81234111775420825</v>
      </c>
      <c r="J19" s="13">
        <f t="shared" si="1"/>
        <v>1.0402065684743407</v>
      </c>
    </row>
    <row r="20" spans="1:10" x14ac:dyDescent="0.25">
      <c r="A20" s="11" t="s">
        <v>20</v>
      </c>
      <c r="B20" s="8"/>
      <c r="C20" s="8" t="s">
        <v>21</v>
      </c>
      <c r="D20" s="12">
        <v>1291408</v>
      </c>
      <c r="E20" s="12">
        <v>1379632</v>
      </c>
      <c r="F20" s="12">
        <v>655139</v>
      </c>
      <c r="G20" s="12">
        <f>+ROUND($G$97/$F$97*F20,0)</f>
        <v>1258561</v>
      </c>
      <c r="H20" s="12">
        <f>+ROUND($H$97/$G$97*G20,0)</f>
        <v>1309163</v>
      </c>
      <c r="I20" s="13">
        <f t="shared" si="0"/>
        <v>0.91224398970160159</v>
      </c>
      <c r="J20" s="13">
        <f t="shared" si="1"/>
        <v>1.0402062355340742</v>
      </c>
    </row>
    <row r="21" spans="1:10" x14ac:dyDescent="0.25">
      <c r="A21" s="11" t="s">
        <v>22</v>
      </c>
      <c r="B21" s="8"/>
      <c r="C21" s="8" t="s">
        <v>21</v>
      </c>
      <c r="D21" s="12">
        <f>+D12</f>
        <v>6134326</v>
      </c>
      <c r="E21" s="12">
        <v>6730541</v>
      </c>
      <c r="F21" s="12">
        <f>+F12</f>
        <v>2774336</v>
      </c>
      <c r="G21" s="12">
        <f>+ROUND($G$97/$F$97*F21,0)</f>
        <v>5329666</v>
      </c>
      <c r="H21" s="12">
        <f>+ROUND($H$97/$G$97*G21,0)</f>
        <v>5543954</v>
      </c>
      <c r="I21" s="13">
        <f t="shared" si="0"/>
        <v>0.79186294236971444</v>
      </c>
      <c r="J21" s="13">
        <f t="shared" si="1"/>
        <v>1.0402066470957092</v>
      </c>
    </row>
    <row r="22" spans="1:10" hidden="1" x14ac:dyDescent="0.25">
      <c r="A22" s="11" t="s">
        <v>23</v>
      </c>
      <c r="B22" s="8"/>
      <c r="C22" s="8"/>
      <c r="D22" s="15"/>
      <c r="E22" s="15"/>
      <c r="F22" s="15"/>
      <c r="G22" s="15"/>
      <c r="H22" s="15"/>
      <c r="I22" s="13" t="e">
        <f t="shared" si="0"/>
        <v>#DIV/0!</v>
      </c>
      <c r="J22" s="13" t="e">
        <f t="shared" si="1"/>
        <v>#DIV/0!</v>
      </c>
    </row>
    <row r="23" spans="1:10" hidden="1" x14ac:dyDescent="0.25">
      <c r="A23" s="11" t="s">
        <v>30</v>
      </c>
      <c r="B23" s="8"/>
      <c r="C23" s="8"/>
      <c r="D23" s="15"/>
      <c r="E23" s="15"/>
      <c r="F23" s="15"/>
      <c r="G23" s="15"/>
      <c r="H23" s="15"/>
      <c r="I23" s="13" t="e">
        <f t="shared" si="0"/>
        <v>#DIV/0!</v>
      </c>
      <c r="J23" s="13" t="e">
        <f t="shared" si="1"/>
        <v>#DIV/0!</v>
      </c>
    </row>
    <row r="24" spans="1:10" ht="16.2" hidden="1" customHeight="1" x14ac:dyDescent="0.25">
      <c r="A24" s="11" t="s">
        <v>25</v>
      </c>
      <c r="B24" s="8"/>
      <c r="C24" s="8"/>
      <c r="D24" s="15"/>
      <c r="E24" s="15"/>
      <c r="F24" s="15"/>
      <c r="G24" s="15"/>
      <c r="H24" s="15"/>
      <c r="I24" s="13" t="e">
        <f t="shared" si="0"/>
        <v>#DIV/0!</v>
      </c>
      <c r="J24" s="13" t="e">
        <f t="shared" si="1"/>
        <v>#DIV/0!</v>
      </c>
    </row>
    <row r="25" spans="1:10" hidden="1" x14ac:dyDescent="0.25">
      <c r="A25" s="11" t="s">
        <v>26</v>
      </c>
      <c r="B25" s="8"/>
      <c r="C25" s="8"/>
      <c r="D25" s="15"/>
      <c r="E25" s="15"/>
      <c r="F25" s="15"/>
      <c r="G25" s="15"/>
      <c r="H25" s="15"/>
      <c r="I25" s="13" t="e">
        <f t="shared" si="0"/>
        <v>#DIV/0!</v>
      </c>
      <c r="J25" s="13" t="e">
        <f t="shared" si="1"/>
        <v>#DIV/0!</v>
      </c>
    </row>
    <row r="26" spans="1:10" hidden="1" x14ac:dyDescent="0.25">
      <c r="A26" s="11" t="s">
        <v>31</v>
      </c>
      <c r="B26" s="8"/>
      <c r="C26" s="8"/>
      <c r="D26" s="15"/>
      <c r="E26" s="15"/>
      <c r="F26" s="15"/>
      <c r="G26" s="15"/>
      <c r="H26" s="15"/>
      <c r="I26" s="13" t="e">
        <f t="shared" si="0"/>
        <v>#DIV/0!</v>
      </c>
      <c r="J26" s="13" t="e">
        <f t="shared" si="1"/>
        <v>#DIV/0!</v>
      </c>
    </row>
    <row r="27" spans="1:10" hidden="1" x14ac:dyDescent="0.25">
      <c r="A27" s="11" t="s">
        <v>32</v>
      </c>
      <c r="B27" s="8"/>
      <c r="C27" s="8"/>
      <c r="D27" s="15"/>
      <c r="E27" s="15"/>
      <c r="F27" s="15"/>
      <c r="G27" s="15"/>
      <c r="H27" s="15"/>
      <c r="I27" s="13" t="e">
        <f t="shared" si="0"/>
        <v>#DIV/0!</v>
      </c>
      <c r="J27" s="13" t="e">
        <f t="shared" si="1"/>
        <v>#DIV/0!</v>
      </c>
    </row>
    <row r="28" spans="1:10" hidden="1" x14ac:dyDescent="0.25">
      <c r="A28" s="11" t="s">
        <v>29</v>
      </c>
      <c r="B28" s="8"/>
      <c r="C28" s="8"/>
      <c r="D28" s="15"/>
      <c r="E28" s="15"/>
      <c r="F28" s="15"/>
      <c r="G28" s="15"/>
      <c r="H28" s="15"/>
      <c r="I28" s="13" t="e">
        <f t="shared" si="0"/>
        <v>#DIV/0!</v>
      </c>
      <c r="J28" s="13" t="e">
        <f t="shared" si="1"/>
        <v>#DIV/0!</v>
      </c>
    </row>
    <row r="29" spans="1:10" hidden="1" x14ac:dyDescent="0.25">
      <c r="A29" s="11" t="s">
        <v>33</v>
      </c>
      <c r="B29" s="8"/>
      <c r="C29" s="8"/>
      <c r="D29" s="15"/>
      <c r="E29" s="15"/>
      <c r="F29" s="15"/>
      <c r="G29" s="15"/>
      <c r="H29" s="15"/>
      <c r="I29" s="13" t="e">
        <f t="shared" si="0"/>
        <v>#DIV/0!</v>
      </c>
      <c r="J29" s="13" t="e">
        <f t="shared" si="1"/>
        <v>#DIV/0!</v>
      </c>
    </row>
    <row r="30" spans="1:10" hidden="1" x14ac:dyDescent="0.25">
      <c r="A30" s="11" t="s">
        <v>34</v>
      </c>
      <c r="B30" s="8"/>
      <c r="C30" s="8"/>
      <c r="D30" s="15"/>
      <c r="E30" s="15"/>
      <c r="F30" s="15"/>
      <c r="G30" s="15"/>
      <c r="H30" s="15"/>
      <c r="I30" s="13" t="e">
        <f t="shared" si="0"/>
        <v>#DIV/0!</v>
      </c>
      <c r="J30" s="13" t="e">
        <f t="shared" si="1"/>
        <v>#DIV/0!</v>
      </c>
    </row>
    <row r="31" spans="1:10" hidden="1" x14ac:dyDescent="0.25">
      <c r="A31" s="11" t="s">
        <v>27</v>
      </c>
      <c r="B31" s="8"/>
      <c r="C31" s="8"/>
      <c r="D31" s="15"/>
      <c r="E31" s="15"/>
      <c r="F31" s="15"/>
      <c r="G31" s="15"/>
      <c r="H31" s="15"/>
      <c r="I31" s="13" t="e">
        <f t="shared" si="0"/>
        <v>#DIV/0!</v>
      </c>
      <c r="J31" s="13" t="e">
        <f t="shared" si="1"/>
        <v>#DIV/0!</v>
      </c>
    </row>
    <row r="32" spans="1:10" hidden="1" x14ac:dyDescent="0.25">
      <c r="A32" s="11" t="s">
        <v>30</v>
      </c>
      <c r="B32" s="8"/>
      <c r="C32" s="8"/>
      <c r="D32" s="15"/>
      <c r="E32" s="15"/>
      <c r="F32" s="15"/>
      <c r="G32" s="15"/>
      <c r="H32" s="15"/>
      <c r="I32" s="13" t="e">
        <f t="shared" si="0"/>
        <v>#DIV/0!</v>
      </c>
      <c r="J32" s="13" t="e">
        <f t="shared" si="1"/>
        <v>#DIV/0!</v>
      </c>
    </row>
    <row r="33" spans="1:10" hidden="1" x14ac:dyDescent="0.25">
      <c r="A33" s="11" t="s">
        <v>25</v>
      </c>
      <c r="B33" s="8"/>
      <c r="C33" s="8"/>
      <c r="D33" s="15"/>
      <c r="E33" s="15"/>
      <c r="F33" s="15"/>
      <c r="G33" s="15"/>
      <c r="H33" s="15"/>
      <c r="I33" s="13" t="e">
        <f t="shared" si="0"/>
        <v>#DIV/0!</v>
      </c>
      <c r="J33" s="13" t="e">
        <f t="shared" si="1"/>
        <v>#DIV/0!</v>
      </c>
    </row>
    <row r="34" spans="1:10" hidden="1" x14ac:dyDescent="0.25">
      <c r="A34" s="11" t="s">
        <v>26</v>
      </c>
      <c r="B34" s="8"/>
      <c r="C34" s="8"/>
      <c r="D34" s="15"/>
      <c r="E34" s="15"/>
      <c r="F34" s="15"/>
      <c r="G34" s="15"/>
      <c r="H34" s="15"/>
      <c r="I34" s="13" t="e">
        <f t="shared" si="0"/>
        <v>#DIV/0!</v>
      </c>
      <c r="J34" s="13" t="e">
        <f t="shared" si="1"/>
        <v>#DIV/0!</v>
      </c>
    </row>
    <row r="35" spans="1:10" hidden="1" x14ac:dyDescent="0.25">
      <c r="A35" s="11" t="s">
        <v>35</v>
      </c>
      <c r="B35" s="8"/>
      <c r="C35" s="8"/>
      <c r="D35" s="15"/>
      <c r="E35" s="15"/>
      <c r="F35" s="15"/>
      <c r="G35" s="15"/>
      <c r="H35" s="15"/>
      <c r="I35" s="13" t="e">
        <f t="shared" si="0"/>
        <v>#DIV/0!</v>
      </c>
      <c r="J35" s="13" t="e">
        <f t="shared" si="1"/>
        <v>#DIV/0!</v>
      </c>
    </row>
    <row r="36" spans="1:10" hidden="1" x14ac:dyDescent="0.25">
      <c r="A36" s="11" t="s">
        <v>36</v>
      </c>
      <c r="B36" s="8"/>
      <c r="C36" s="8"/>
      <c r="D36" s="15"/>
      <c r="E36" s="15"/>
      <c r="F36" s="15"/>
      <c r="G36" s="15"/>
      <c r="H36" s="15"/>
      <c r="I36" s="13" t="e">
        <f t="shared" si="0"/>
        <v>#DIV/0!</v>
      </c>
      <c r="J36" s="13" t="e">
        <f t="shared" si="1"/>
        <v>#DIV/0!</v>
      </c>
    </row>
    <row r="37" spans="1:10" hidden="1" x14ac:dyDescent="0.25">
      <c r="A37" s="11" t="s">
        <v>29</v>
      </c>
      <c r="B37" s="8"/>
      <c r="C37" s="8"/>
      <c r="D37" s="15"/>
      <c r="E37" s="15"/>
      <c r="F37" s="15"/>
      <c r="G37" s="15"/>
      <c r="H37" s="15"/>
      <c r="I37" s="13" t="e">
        <f t="shared" si="0"/>
        <v>#DIV/0!</v>
      </c>
      <c r="J37" s="13" t="e">
        <f t="shared" si="1"/>
        <v>#DIV/0!</v>
      </c>
    </row>
    <row r="38" spans="1:10" hidden="1" x14ac:dyDescent="0.25">
      <c r="A38" s="11" t="s">
        <v>33</v>
      </c>
      <c r="B38" s="8"/>
      <c r="C38" s="8"/>
      <c r="D38" s="15"/>
      <c r="E38" s="15"/>
      <c r="F38" s="15"/>
      <c r="G38" s="15"/>
      <c r="H38" s="15"/>
      <c r="I38" s="13" t="e">
        <f t="shared" si="0"/>
        <v>#DIV/0!</v>
      </c>
      <c r="J38" s="13" t="e">
        <f t="shared" si="1"/>
        <v>#DIV/0!</v>
      </c>
    </row>
    <row r="39" spans="1:10" hidden="1" x14ac:dyDescent="0.25">
      <c r="A39" s="11" t="s">
        <v>34</v>
      </c>
      <c r="B39" s="8"/>
      <c r="C39" s="8"/>
      <c r="D39" s="15"/>
      <c r="E39" s="15"/>
      <c r="F39" s="15"/>
      <c r="G39" s="15"/>
      <c r="H39" s="15"/>
      <c r="I39" s="13" t="e">
        <f t="shared" si="0"/>
        <v>#DIV/0!</v>
      </c>
      <c r="J39" s="13" t="e">
        <f t="shared" si="1"/>
        <v>#DIV/0!</v>
      </c>
    </row>
    <row r="40" spans="1:10" hidden="1" x14ac:dyDescent="0.25">
      <c r="A40" s="11" t="s">
        <v>35</v>
      </c>
      <c r="B40" s="8"/>
      <c r="C40" s="8"/>
      <c r="D40" s="15"/>
      <c r="E40" s="15"/>
      <c r="F40" s="15"/>
      <c r="G40" s="15"/>
      <c r="H40" s="15"/>
      <c r="I40" s="13" t="e">
        <f t="shared" si="0"/>
        <v>#DIV/0!</v>
      </c>
      <c r="J40" s="13" t="e">
        <f t="shared" si="1"/>
        <v>#DIV/0!</v>
      </c>
    </row>
    <row r="41" spans="1:10" hidden="1" x14ac:dyDescent="0.25">
      <c r="A41" s="11" t="s">
        <v>24</v>
      </c>
      <c r="B41" s="8"/>
      <c r="C41" s="8"/>
      <c r="D41" s="15"/>
      <c r="E41" s="15"/>
      <c r="F41" s="15"/>
      <c r="G41" s="15"/>
      <c r="H41" s="15"/>
      <c r="I41" s="13" t="e">
        <f t="shared" si="0"/>
        <v>#DIV/0!</v>
      </c>
      <c r="J41" s="13" t="e">
        <f t="shared" si="1"/>
        <v>#DIV/0!</v>
      </c>
    </row>
    <row r="42" spans="1:10" hidden="1" x14ac:dyDescent="0.25">
      <c r="A42" s="11" t="s">
        <v>25</v>
      </c>
      <c r="B42" s="8"/>
      <c r="C42" s="8"/>
      <c r="D42" s="15"/>
      <c r="E42" s="15"/>
      <c r="F42" s="15"/>
      <c r="G42" s="15"/>
      <c r="H42" s="15"/>
      <c r="I42" s="13" t="e">
        <f t="shared" si="0"/>
        <v>#DIV/0!</v>
      </c>
      <c r="J42" s="13" t="e">
        <f t="shared" si="1"/>
        <v>#DIV/0!</v>
      </c>
    </row>
    <row r="43" spans="1:10" hidden="1" x14ac:dyDescent="0.25">
      <c r="A43" s="11" t="s">
        <v>26</v>
      </c>
      <c r="B43" s="8"/>
      <c r="C43" s="8"/>
      <c r="D43" s="15"/>
      <c r="E43" s="15"/>
      <c r="F43" s="15"/>
      <c r="G43" s="15"/>
      <c r="H43" s="15"/>
      <c r="I43" s="13" t="e">
        <f t="shared" si="0"/>
        <v>#DIV/0!</v>
      </c>
      <c r="J43" s="13" t="e">
        <f t="shared" si="1"/>
        <v>#DIV/0!</v>
      </c>
    </row>
    <row r="44" spans="1:10" hidden="1" x14ac:dyDescent="0.25">
      <c r="A44" s="11" t="s">
        <v>37</v>
      </c>
      <c r="B44" s="8"/>
      <c r="C44" s="8"/>
      <c r="D44" s="15"/>
      <c r="E44" s="15"/>
      <c r="F44" s="15"/>
      <c r="G44" s="15"/>
      <c r="H44" s="15"/>
      <c r="I44" s="13" t="e">
        <f t="shared" si="0"/>
        <v>#DIV/0!</v>
      </c>
      <c r="J44" s="13" t="e">
        <f t="shared" si="1"/>
        <v>#DIV/0!</v>
      </c>
    </row>
    <row r="45" spans="1:10" x14ac:dyDescent="0.25">
      <c r="A45" s="7" t="s">
        <v>38</v>
      </c>
      <c r="B45" s="8"/>
      <c r="C45" s="8"/>
      <c r="D45" s="15"/>
      <c r="E45" s="15"/>
      <c r="F45" s="15"/>
      <c r="G45" s="15"/>
      <c r="H45" s="15"/>
      <c r="I45" s="13"/>
      <c r="J45" s="13"/>
    </row>
    <row r="46" spans="1:10" x14ac:dyDescent="0.25">
      <c r="A46" s="7" t="s">
        <v>39</v>
      </c>
      <c r="B46" s="8"/>
      <c r="C46" s="8"/>
      <c r="D46" s="15"/>
      <c r="E46" s="15"/>
      <c r="F46" s="15"/>
      <c r="G46" s="15"/>
      <c r="H46" s="15"/>
      <c r="I46" s="13"/>
      <c r="J46" s="13"/>
    </row>
    <row r="47" spans="1:10" x14ac:dyDescent="0.25">
      <c r="A47" s="11" t="s">
        <v>40</v>
      </c>
      <c r="B47" s="8"/>
      <c r="C47" s="8" t="s">
        <v>41</v>
      </c>
      <c r="D47" s="15">
        <f>+D48+D49+D50</f>
        <v>60421.700000000004</v>
      </c>
      <c r="E47" s="15">
        <v>62755.335968379441</v>
      </c>
      <c r="F47" s="15">
        <f>+F48+F49+F50</f>
        <v>28990.5</v>
      </c>
      <c r="G47" s="15">
        <f>+G48+G49+G50</f>
        <v>55087.075098814232</v>
      </c>
      <c r="H47" s="15">
        <f>+H48+H49+H50</f>
        <v>57231.225296442688</v>
      </c>
      <c r="I47" s="13">
        <f>+G47/E47</f>
        <v>0.8778070302511165</v>
      </c>
      <c r="J47" s="13">
        <f>+H47/G47</f>
        <v>1.0389229269076696</v>
      </c>
    </row>
    <row r="48" spans="1:10" x14ac:dyDescent="0.25">
      <c r="A48" s="11" t="s">
        <v>42</v>
      </c>
      <c r="B48" s="8" t="s">
        <v>43</v>
      </c>
      <c r="C48" s="8" t="s">
        <v>41</v>
      </c>
      <c r="D48" s="16">
        <v>58039</v>
      </c>
      <c r="E48" s="15">
        <v>62055.335968379441</v>
      </c>
      <c r="F48" s="15">
        <v>27911</v>
      </c>
      <c r="G48" s="15">
        <f>+G97/1.1/1.15</f>
        <v>53577.075098814232</v>
      </c>
      <c r="H48" s="15">
        <f>+H97/1.1/1.15</f>
        <v>55731.225296442688</v>
      </c>
      <c r="I48" s="13">
        <f>+G48/E48</f>
        <v>0.86337579617834403</v>
      </c>
      <c r="J48" s="13">
        <f>+H48/G48</f>
        <v>1.0402065658428623</v>
      </c>
    </row>
    <row r="49" spans="1:10" x14ac:dyDescent="0.25">
      <c r="A49" s="11" t="s">
        <v>44</v>
      </c>
      <c r="B49" s="8" t="s">
        <v>45</v>
      </c>
      <c r="C49" s="8" t="s">
        <v>41</v>
      </c>
      <c r="D49" s="16">
        <v>1506.4</v>
      </c>
      <c r="E49" s="15">
        <v>700</v>
      </c>
      <c r="F49" s="15">
        <v>1078</v>
      </c>
      <c r="G49" s="15">
        <v>1500</v>
      </c>
      <c r="H49" s="15">
        <v>1500</v>
      </c>
      <c r="I49" s="13">
        <f>+G49/E49</f>
        <v>2.1428571428571428</v>
      </c>
      <c r="J49" s="13">
        <f>+H49/G49</f>
        <v>1</v>
      </c>
    </row>
    <row r="50" spans="1:10" x14ac:dyDescent="0.25">
      <c r="A50" s="11" t="s">
        <v>46</v>
      </c>
      <c r="B50" s="8" t="s">
        <v>47</v>
      </c>
      <c r="C50" s="8" t="s">
        <v>41</v>
      </c>
      <c r="D50" s="16">
        <v>876.3</v>
      </c>
      <c r="E50" s="15"/>
      <c r="F50" s="15">
        <v>1.5</v>
      </c>
      <c r="G50" s="15">
        <v>10</v>
      </c>
      <c r="H50" s="15"/>
      <c r="I50" s="13"/>
      <c r="J50" s="13">
        <f>+H50/G50</f>
        <v>0</v>
      </c>
    </row>
    <row r="51" spans="1:10" x14ac:dyDescent="0.25">
      <c r="A51" s="7" t="s">
        <v>48</v>
      </c>
      <c r="B51" s="8"/>
      <c r="C51" s="8"/>
      <c r="D51" s="15"/>
      <c r="E51" s="15"/>
      <c r="F51" s="15"/>
      <c r="G51" s="15"/>
      <c r="H51" s="15"/>
      <c r="I51" s="13"/>
      <c r="J51" s="13"/>
    </row>
    <row r="52" spans="1:10" x14ac:dyDescent="0.25">
      <c r="A52" s="11" t="s">
        <v>49</v>
      </c>
      <c r="B52" s="8" t="s">
        <v>50</v>
      </c>
      <c r="C52" s="8" t="s">
        <v>41</v>
      </c>
      <c r="D52" s="15">
        <v>4492</v>
      </c>
      <c r="E52" s="15">
        <v>2600</v>
      </c>
      <c r="F52" s="15">
        <v>1300</v>
      </c>
      <c r="G52" s="15">
        <v>2600</v>
      </c>
      <c r="H52" s="15">
        <v>2650</v>
      </c>
      <c r="I52" s="13">
        <f>+G52/E52</f>
        <v>1</v>
      </c>
      <c r="J52" s="13">
        <f>+H52/G52</f>
        <v>1.0192307692307692</v>
      </c>
    </row>
    <row r="53" spans="1:10" x14ac:dyDescent="0.25">
      <c r="A53" s="11" t="s">
        <v>51</v>
      </c>
      <c r="B53" s="8" t="s">
        <v>52</v>
      </c>
      <c r="C53" s="8" t="s">
        <v>41</v>
      </c>
      <c r="D53" s="15">
        <v>3512.8</v>
      </c>
      <c r="E53" s="15">
        <v>2080</v>
      </c>
      <c r="F53" s="15">
        <v>1035</v>
      </c>
      <c r="G53" s="15">
        <f>+G52-G52*0.2</f>
        <v>2080</v>
      </c>
      <c r="H53" s="15">
        <f>+H52-H52*0.2</f>
        <v>2120</v>
      </c>
      <c r="I53" s="13">
        <f>+G53/E53</f>
        <v>1</v>
      </c>
      <c r="J53" s="13">
        <f>+H53/G53</f>
        <v>1.0192307692307692</v>
      </c>
    </row>
    <row r="54" spans="1:10" x14ac:dyDescent="0.25">
      <c r="A54" s="7" t="s">
        <v>53</v>
      </c>
      <c r="B54" s="8"/>
      <c r="C54" s="8" t="s">
        <v>41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3"/>
      <c r="J54" s="13"/>
    </row>
    <row r="55" spans="1:10" x14ac:dyDescent="0.25">
      <c r="A55" s="11" t="s">
        <v>54</v>
      </c>
      <c r="B55" s="8"/>
      <c r="C55" s="8" t="s">
        <v>41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3"/>
      <c r="J55" s="13"/>
    </row>
    <row r="56" spans="1:10" x14ac:dyDescent="0.25">
      <c r="A56" s="7" t="s">
        <v>55</v>
      </c>
      <c r="B56" s="8"/>
      <c r="C56" s="8"/>
      <c r="D56" s="17">
        <f>+D57+D67</f>
        <v>18318.300000000003</v>
      </c>
      <c r="E56" s="17">
        <v>17099.964031620551</v>
      </c>
      <c r="F56" s="17">
        <f>+F57+F67</f>
        <v>8382.6</v>
      </c>
      <c r="G56" s="17">
        <f>+G57+G67</f>
        <v>16317.08490118577</v>
      </c>
      <c r="H56" s="17">
        <f>+H57+H67</f>
        <v>15899.974703557311</v>
      </c>
      <c r="I56" s="10">
        <f t="shared" ref="I56:I66" si="2">+G56/E56</f>
        <v>0.95421749841186132</v>
      </c>
      <c r="J56" s="10">
        <f t="shared" ref="J56:J74" si="3">+H56/G56</f>
        <v>0.97443721104876113</v>
      </c>
    </row>
    <row r="57" spans="1:10" x14ac:dyDescent="0.25">
      <c r="A57" s="11" t="s">
        <v>56</v>
      </c>
      <c r="B57" s="8"/>
      <c r="C57" s="8" t="s">
        <v>41</v>
      </c>
      <c r="D57" s="17">
        <f>SUM(D58:D61)</f>
        <v>16683.600000000002</v>
      </c>
      <c r="E57" s="17">
        <v>16799.964031620551</v>
      </c>
      <c r="F57" s="17">
        <f>SUM(F58:F61)</f>
        <v>8382.6</v>
      </c>
      <c r="G57" s="17">
        <f>SUM(G58:G61)</f>
        <v>15317.08490118577</v>
      </c>
      <c r="H57" s="17">
        <f>SUM(H58:H61)</f>
        <v>15099.974703557311</v>
      </c>
      <c r="I57" s="13">
        <f t="shared" si="2"/>
        <v>0.91173319611615022</v>
      </c>
      <c r="J57" s="13">
        <f t="shared" si="3"/>
        <v>0.98582561897194609</v>
      </c>
    </row>
    <row r="58" spans="1:10" x14ac:dyDescent="0.25">
      <c r="A58" s="11" t="s">
        <v>57</v>
      </c>
      <c r="B58" s="8"/>
      <c r="C58" s="8" t="s">
        <v>41</v>
      </c>
      <c r="D58" s="15">
        <v>6518</v>
      </c>
      <c r="E58" s="15">
        <v>6921.6636363636362</v>
      </c>
      <c r="F58" s="15">
        <v>3088.61</v>
      </c>
      <c r="G58" s="15">
        <f>+G48*1.15*0.1-200-42.9</f>
        <v>5918.4636363636364</v>
      </c>
      <c r="H58" s="15">
        <f>+H48*1.15*0.1-0.1-200-48.7</f>
        <v>6160.2909090909088</v>
      </c>
      <c r="I58" s="13">
        <f t="shared" si="2"/>
        <v>0.85506374584144906</v>
      </c>
      <c r="J58" s="13">
        <f t="shared" si="3"/>
        <v>1.0408598054470524</v>
      </c>
    </row>
    <row r="59" spans="1:10" x14ac:dyDescent="0.25">
      <c r="A59" s="11" t="s">
        <v>58</v>
      </c>
      <c r="B59" s="8"/>
      <c r="C59" s="8" t="s">
        <v>41</v>
      </c>
      <c r="D59" s="15">
        <v>8706</v>
      </c>
      <c r="E59" s="15">
        <v>9308.3003952569161</v>
      </c>
      <c r="F59" s="15">
        <f>+F48*0.15</f>
        <v>4186.6499999999996</v>
      </c>
      <c r="G59" s="15">
        <f>+G48*0.15</f>
        <v>8036.561264822134</v>
      </c>
      <c r="H59" s="15">
        <f>+H48*0.15</f>
        <v>8359.6837944664021</v>
      </c>
      <c r="I59" s="13">
        <f t="shared" si="2"/>
        <v>0.86337579617834403</v>
      </c>
      <c r="J59" s="13">
        <f t="shared" si="3"/>
        <v>1.0402065658428623</v>
      </c>
    </row>
    <row r="60" spans="1:10" x14ac:dyDescent="0.25">
      <c r="A60" s="11" t="s">
        <v>59</v>
      </c>
      <c r="B60" s="8"/>
      <c r="C60" s="8" t="s">
        <v>41</v>
      </c>
      <c r="D60" s="15">
        <v>923.2</v>
      </c>
      <c r="E60" s="15">
        <v>520</v>
      </c>
      <c r="F60" s="15">
        <v>265.27999999999997</v>
      </c>
      <c r="G60" s="15">
        <f>+G52*0.2</f>
        <v>520</v>
      </c>
      <c r="H60" s="15">
        <f>+H52*0.2</f>
        <v>530</v>
      </c>
      <c r="I60" s="13">
        <f t="shared" si="2"/>
        <v>1</v>
      </c>
      <c r="J60" s="13">
        <f t="shared" si="3"/>
        <v>1.0192307692307692</v>
      </c>
    </row>
    <row r="61" spans="1:10" x14ac:dyDescent="0.25">
      <c r="A61" s="11" t="s">
        <v>60</v>
      </c>
      <c r="B61" s="8"/>
      <c r="C61" s="8" t="s">
        <v>41</v>
      </c>
      <c r="D61" s="15">
        <f>75.8+3+457.6</f>
        <v>536.4</v>
      </c>
      <c r="E61" s="15">
        <v>50</v>
      </c>
      <c r="F61" s="15">
        <f>844.17+3-5.11</f>
        <v>842.06</v>
      </c>
      <c r="G61" s="15">
        <f>+F61</f>
        <v>842.06</v>
      </c>
      <c r="H61" s="15">
        <v>50</v>
      </c>
      <c r="I61" s="13">
        <f t="shared" si="2"/>
        <v>16.841200000000001</v>
      </c>
      <c r="J61" s="13">
        <f t="shared" si="3"/>
        <v>5.9378191577797314E-2</v>
      </c>
    </row>
    <row r="62" spans="1:10" ht="0.75" customHeight="1" x14ac:dyDescent="0.25">
      <c r="A62" s="11" t="s">
        <v>61</v>
      </c>
      <c r="B62" s="8"/>
      <c r="C62" s="8" t="s">
        <v>41</v>
      </c>
      <c r="D62" s="15"/>
      <c r="E62" s="15"/>
      <c r="F62" s="15"/>
      <c r="G62" s="15"/>
      <c r="H62" s="15"/>
      <c r="I62" s="13" t="e">
        <f t="shared" si="2"/>
        <v>#DIV/0!</v>
      </c>
      <c r="J62" s="13" t="e">
        <f t="shared" si="3"/>
        <v>#DIV/0!</v>
      </c>
    </row>
    <row r="63" spans="1:10" hidden="1" x14ac:dyDescent="0.25">
      <c r="A63" s="11" t="s">
        <v>62</v>
      </c>
      <c r="B63" s="8"/>
      <c r="C63" s="8" t="s">
        <v>41</v>
      </c>
      <c r="D63" s="15"/>
      <c r="E63" s="15"/>
      <c r="F63" s="15"/>
      <c r="G63" s="15"/>
      <c r="H63" s="15"/>
      <c r="I63" s="13" t="e">
        <f t="shared" si="2"/>
        <v>#DIV/0!</v>
      </c>
      <c r="J63" s="13" t="e">
        <f t="shared" si="3"/>
        <v>#DIV/0!</v>
      </c>
    </row>
    <row r="64" spans="1:10" hidden="1" x14ac:dyDescent="0.25">
      <c r="A64" s="11" t="s">
        <v>63</v>
      </c>
      <c r="B64" s="8"/>
      <c r="C64" s="8" t="s">
        <v>41</v>
      </c>
      <c r="D64" s="15"/>
      <c r="E64" s="15"/>
      <c r="F64" s="15"/>
      <c r="G64" s="15"/>
      <c r="H64" s="15"/>
      <c r="I64" s="13" t="e">
        <f t="shared" si="2"/>
        <v>#DIV/0!</v>
      </c>
      <c r="J64" s="13" t="e">
        <f t="shared" si="3"/>
        <v>#DIV/0!</v>
      </c>
    </row>
    <row r="65" spans="1:10" hidden="1" x14ac:dyDescent="0.25">
      <c r="A65" s="11" t="s">
        <v>64</v>
      </c>
      <c r="B65" s="8"/>
      <c r="C65" s="8" t="s">
        <v>41</v>
      </c>
      <c r="D65" s="15"/>
      <c r="E65" s="15"/>
      <c r="F65" s="15"/>
      <c r="G65" s="15"/>
      <c r="H65" s="15"/>
      <c r="I65" s="13" t="e">
        <f t="shared" si="2"/>
        <v>#DIV/0!</v>
      </c>
      <c r="J65" s="13" t="e">
        <f t="shared" si="3"/>
        <v>#DIV/0!</v>
      </c>
    </row>
    <row r="66" spans="1:10" hidden="1" x14ac:dyDescent="0.25">
      <c r="A66" s="11" t="s">
        <v>65</v>
      </c>
      <c r="B66" s="8"/>
      <c r="C66" s="8" t="s">
        <v>41</v>
      </c>
      <c r="D66" s="15"/>
      <c r="E66" s="15"/>
      <c r="F66" s="15"/>
      <c r="G66" s="15"/>
      <c r="H66" s="15"/>
      <c r="I66" s="13" t="e">
        <f t="shared" si="2"/>
        <v>#DIV/0!</v>
      </c>
      <c r="J66" s="13" t="e">
        <f t="shared" si="3"/>
        <v>#DIV/0!</v>
      </c>
    </row>
    <row r="67" spans="1:10" x14ac:dyDescent="0.25">
      <c r="A67" s="11" t="s">
        <v>66</v>
      </c>
      <c r="B67" s="8"/>
      <c r="C67" s="8" t="s">
        <v>41</v>
      </c>
      <c r="D67" s="18">
        <v>1634.7</v>
      </c>
      <c r="E67" s="15">
        <v>300</v>
      </c>
      <c r="F67" s="15"/>
      <c r="G67" s="15">
        <v>1000</v>
      </c>
      <c r="H67" s="15">
        <v>800</v>
      </c>
      <c r="I67" s="13"/>
      <c r="J67" s="13">
        <f t="shared" si="3"/>
        <v>0.8</v>
      </c>
    </row>
    <row r="68" spans="1:10" x14ac:dyDescent="0.25">
      <c r="A68" s="7" t="s">
        <v>67</v>
      </c>
      <c r="B68" s="8"/>
      <c r="C68" s="8" t="s">
        <v>41</v>
      </c>
      <c r="D68" s="17">
        <f>+D69+D80</f>
        <v>17557.32</v>
      </c>
      <c r="E68" s="17">
        <v>17099.964031620551</v>
      </c>
      <c r="F68" s="17">
        <f>+F69+F80</f>
        <v>10303.970000000001</v>
      </c>
      <c r="G68" s="17">
        <f>+G69+G80</f>
        <v>16925.694901185769</v>
      </c>
      <c r="H68" s="17">
        <f>+H69+H80</f>
        <v>16099.974703557311</v>
      </c>
      <c r="I68" s="13">
        <f t="shared" ref="I68:I86" si="4">+G68/E68</f>
        <v>0.98980880134528171</v>
      </c>
      <c r="J68" s="13">
        <f t="shared" si="3"/>
        <v>0.95121498984537345</v>
      </c>
    </row>
    <row r="69" spans="1:10" x14ac:dyDescent="0.25">
      <c r="A69" s="11" t="s">
        <v>56</v>
      </c>
      <c r="B69" s="8"/>
      <c r="C69" s="8" t="s">
        <v>41</v>
      </c>
      <c r="D69" s="17">
        <f>SUM(D70:D72)+D74</f>
        <v>16523.72</v>
      </c>
      <c r="E69" s="17">
        <v>16799.964031620551</v>
      </c>
      <c r="F69" s="17">
        <f>SUM(F70:F72)+F74</f>
        <v>8829.27</v>
      </c>
      <c r="G69" s="17">
        <f>SUM(G70:G72)+G74</f>
        <v>15450.99490118577</v>
      </c>
      <c r="H69" s="17">
        <f>SUM(H70:H72)+H74</f>
        <v>15099.974703557311</v>
      </c>
      <c r="I69" s="13">
        <f t="shared" si="4"/>
        <v>0.9197040465148747</v>
      </c>
      <c r="J69" s="13">
        <f t="shared" si="3"/>
        <v>0.97728170905023592</v>
      </c>
    </row>
    <row r="70" spans="1:10" x14ac:dyDescent="0.25">
      <c r="A70" s="11" t="s">
        <v>57</v>
      </c>
      <c r="B70" s="8"/>
      <c r="C70" s="8" t="s">
        <v>41</v>
      </c>
      <c r="D70" s="15">
        <v>6624.32</v>
      </c>
      <c r="E70" s="15">
        <v>6921.6636363636362</v>
      </c>
      <c r="F70" s="15">
        <v>3119</v>
      </c>
      <c r="G70" s="15">
        <f>+G58</f>
        <v>5918.4636363636364</v>
      </c>
      <c r="H70" s="15">
        <f>+H58</f>
        <v>6160.2909090909088</v>
      </c>
      <c r="I70" s="13">
        <f t="shared" si="4"/>
        <v>0.85506374584144906</v>
      </c>
      <c r="J70" s="13">
        <f t="shared" si="3"/>
        <v>1.0408598054470524</v>
      </c>
    </row>
    <row r="71" spans="1:10" x14ac:dyDescent="0.25">
      <c r="A71" s="11" t="s">
        <v>58</v>
      </c>
      <c r="B71" s="8"/>
      <c r="C71" s="8" t="s">
        <v>41</v>
      </c>
      <c r="D71" s="15">
        <v>8843.2000000000007</v>
      </c>
      <c r="E71" s="15">
        <v>9308.3003952569161</v>
      </c>
      <c r="F71" s="15">
        <v>4214.3</v>
      </c>
      <c r="G71" s="15">
        <f>+G59</f>
        <v>8036.561264822134</v>
      </c>
      <c r="H71" s="15">
        <f>+H59</f>
        <v>8359.6837944664021</v>
      </c>
      <c r="I71" s="13">
        <f t="shared" si="4"/>
        <v>0.86337579617834403</v>
      </c>
      <c r="J71" s="13">
        <f t="shared" si="3"/>
        <v>1.0402065658428623</v>
      </c>
    </row>
    <row r="72" spans="1:10" x14ac:dyDescent="0.25">
      <c r="A72" s="11" t="s">
        <v>59</v>
      </c>
      <c r="B72" s="8"/>
      <c r="C72" s="8" t="s">
        <v>41</v>
      </c>
      <c r="D72" s="15">
        <v>450</v>
      </c>
      <c r="E72" s="15">
        <v>520</v>
      </c>
      <c r="F72" s="15">
        <v>459</v>
      </c>
      <c r="G72" s="15">
        <f>+F72</f>
        <v>459</v>
      </c>
      <c r="H72" s="15">
        <f>+H60</f>
        <v>530</v>
      </c>
      <c r="I72" s="13">
        <f t="shared" si="4"/>
        <v>0.88269230769230766</v>
      </c>
      <c r="J72" s="13">
        <f t="shared" si="3"/>
        <v>1.1546840958605664</v>
      </c>
    </row>
    <row r="73" spans="1:10" x14ac:dyDescent="0.25">
      <c r="A73" s="11" t="s">
        <v>68</v>
      </c>
      <c r="B73" s="8"/>
      <c r="C73" s="8" t="s">
        <v>41</v>
      </c>
      <c r="D73" s="15">
        <v>873.6</v>
      </c>
      <c r="E73" s="15">
        <v>937.89999999999975</v>
      </c>
      <c r="F73" s="15">
        <v>2103.9</v>
      </c>
      <c r="G73" s="15">
        <f>+F73</f>
        <v>2103.9</v>
      </c>
      <c r="H73" s="15">
        <f>+G81</f>
        <v>1495.2899999999995</v>
      </c>
      <c r="I73" s="13">
        <f t="shared" si="4"/>
        <v>2.2432029000959597</v>
      </c>
      <c r="J73" s="13">
        <f t="shared" si="3"/>
        <v>0.71072294310566064</v>
      </c>
    </row>
    <row r="74" spans="1:10" x14ac:dyDescent="0.25">
      <c r="A74" s="11" t="s">
        <v>60</v>
      </c>
      <c r="B74" s="8"/>
      <c r="C74" s="8" t="s">
        <v>41</v>
      </c>
      <c r="D74" s="15">
        <f>145.6+3+457.6</f>
        <v>606.20000000000005</v>
      </c>
      <c r="E74" s="15">
        <v>50</v>
      </c>
      <c r="F74" s="15">
        <f>844.17+17.4+3+172.4</f>
        <v>1036.97</v>
      </c>
      <c r="G74" s="15">
        <f>+F74</f>
        <v>1036.97</v>
      </c>
      <c r="H74" s="15">
        <f>+H61</f>
        <v>50</v>
      </c>
      <c r="I74" s="13">
        <f t="shared" si="4"/>
        <v>20.7394</v>
      </c>
      <c r="J74" s="13">
        <f t="shared" si="3"/>
        <v>4.8217402624955399E-2</v>
      </c>
    </row>
    <row r="75" spans="1:10" hidden="1" x14ac:dyDescent="0.25">
      <c r="A75" s="11" t="s">
        <v>61</v>
      </c>
      <c r="B75" s="8"/>
      <c r="C75" s="8" t="s">
        <v>41</v>
      </c>
      <c r="D75" s="15"/>
      <c r="E75" s="15"/>
      <c r="F75" s="15"/>
      <c r="G75" s="15"/>
      <c r="H75" s="15"/>
      <c r="I75" s="13" t="e">
        <f t="shared" si="4"/>
        <v>#DIV/0!</v>
      </c>
      <c r="J75" s="13"/>
    </row>
    <row r="76" spans="1:10" hidden="1" x14ac:dyDescent="0.25">
      <c r="A76" s="11" t="s">
        <v>69</v>
      </c>
      <c r="B76" s="8"/>
      <c r="C76" s="8" t="s">
        <v>41</v>
      </c>
      <c r="D76" s="15"/>
      <c r="E76" s="15"/>
      <c r="F76" s="15"/>
      <c r="G76" s="15"/>
      <c r="H76" s="15"/>
      <c r="I76" s="13" t="e">
        <f t="shared" si="4"/>
        <v>#DIV/0!</v>
      </c>
      <c r="J76" s="13"/>
    </row>
    <row r="77" spans="1:10" hidden="1" x14ac:dyDescent="0.25">
      <c r="A77" s="11" t="s">
        <v>63</v>
      </c>
      <c r="B77" s="8"/>
      <c r="C77" s="8" t="s">
        <v>41</v>
      </c>
      <c r="D77" s="15"/>
      <c r="E77" s="15"/>
      <c r="F77" s="15"/>
      <c r="G77" s="15"/>
      <c r="H77" s="15"/>
      <c r="I77" s="13" t="e">
        <f t="shared" si="4"/>
        <v>#DIV/0!</v>
      </c>
      <c r="J77" s="13"/>
    </row>
    <row r="78" spans="1:10" hidden="1" x14ac:dyDescent="0.25">
      <c r="A78" s="11" t="s">
        <v>64</v>
      </c>
      <c r="B78" s="8"/>
      <c r="C78" s="8" t="s">
        <v>41</v>
      </c>
      <c r="D78" s="15"/>
      <c r="E78" s="15"/>
      <c r="F78" s="15"/>
      <c r="G78" s="15"/>
      <c r="H78" s="15"/>
      <c r="I78" s="13" t="e">
        <f t="shared" si="4"/>
        <v>#DIV/0!</v>
      </c>
      <c r="J78" s="13"/>
    </row>
    <row r="79" spans="1:10" hidden="1" x14ac:dyDescent="0.25">
      <c r="A79" s="11" t="s">
        <v>65</v>
      </c>
      <c r="B79" s="8"/>
      <c r="C79" s="8" t="s">
        <v>41</v>
      </c>
      <c r="D79" s="15"/>
      <c r="E79" s="15"/>
      <c r="F79" s="15"/>
      <c r="G79" s="15"/>
      <c r="H79" s="15"/>
      <c r="I79" s="13" t="e">
        <f t="shared" si="4"/>
        <v>#DIV/0!</v>
      </c>
      <c r="J79" s="13"/>
    </row>
    <row r="80" spans="1:10" x14ac:dyDescent="0.25">
      <c r="A80" s="19" t="s">
        <v>66</v>
      </c>
      <c r="B80" s="20"/>
      <c r="C80" s="20" t="s">
        <v>41</v>
      </c>
      <c r="D80" s="21">
        <v>1033.5999999999999</v>
      </c>
      <c r="E80" s="21">
        <v>300</v>
      </c>
      <c r="F80" s="21">
        <v>1474.7</v>
      </c>
      <c r="G80" s="21">
        <f>+F80</f>
        <v>1474.7</v>
      </c>
      <c r="H80" s="21">
        <v>1000</v>
      </c>
      <c r="I80" s="22">
        <f t="shared" si="4"/>
        <v>4.9156666666666666</v>
      </c>
      <c r="J80" s="22">
        <f t="shared" ref="J80:J86" si="5">+H80/G80</f>
        <v>0.67810402115684543</v>
      </c>
    </row>
    <row r="81" spans="1:10" hidden="1" x14ac:dyDescent="0.25">
      <c r="A81" s="23" t="s">
        <v>70</v>
      </c>
      <c r="B81" s="24"/>
      <c r="C81" s="24" t="s">
        <v>41</v>
      </c>
      <c r="D81" s="25">
        <f>+D82+D92</f>
        <v>2103.9</v>
      </c>
      <c r="E81" s="25">
        <v>1613.6</v>
      </c>
      <c r="F81" s="25">
        <f>+F82+F92</f>
        <v>182.52999999999906</v>
      </c>
      <c r="G81" s="25">
        <f>+G82+G92</f>
        <v>1495.2899999999995</v>
      </c>
      <c r="H81" s="25">
        <f>+H82+H92</f>
        <v>1613.6</v>
      </c>
      <c r="I81" s="26">
        <f t="shared" si="4"/>
        <v>0.92667947446703003</v>
      </c>
      <c r="J81" s="26">
        <f t="shared" si="5"/>
        <v>1.0791217757090601</v>
      </c>
    </row>
    <row r="82" spans="1:10" hidden="1" x14ac:dyDescent="0.25">
      <c r="A82" s="11" t="s">
        <v>71</v>
      </c>
      <c r="B82" s="8"/>
      <c r="C82" s="8" t="s">
        <v>41</v>
      </c>
      <c r="D82" s="17">
        <f>SUM(D83:D86)</f>
        <v>1230.3000000000002</v>
      </c>
      <c r="E82" s="17">
        <v>1613.6</v>
      </c>
      <c r="F82" s="17">
        <f>SUM(F83:F86)</f>
        <v>783.62999999999909</v>
      </c>
      <c r="G82" s="17">
        <f>SUM(G83:G86)</f>
        <v>1096.3899999999996</v>
      </c>
      <c r="H82" s="17">
        <f>SUM(H83:H86)</f>
        <v>1613.6</v>
      </c>
      <c r="I82" s="13">
        <f t="shared" si="4"/>
        <v>0.67946826970748619</v>
      </c>
      <c r="J82" s="13">
        <f t="shared" si="5"/>
        <v>1.4717390709510305</v>
      </c>
    </row>
    <row r="83" spans="1:10" hidden="1" x14ac:dyDescent="0.25">
      <c r="A83" s="11" t="s">
        <v>57</v>
      </c>
      <c r="B83" s="8"/>
      <c r="C83" s="8" t="s">
        <v>41</v>
      </c>
      <c r="D83" s="15">
        <v>614</v>
      </c>
      <c r="E83" s="15">
        <v>651</v>
      </c>
      <c r="F83" s="15">
        <f>+D83+F58-F70</f>
        <v>583.61000000000013</v>
      </c>
      <c r="G83" s="15">
        <f>+D83+G58-G70</f>
        <v>614</v>
      </c>
      <c r="H83" s="15">
        <v>651</v>
      </c>
      <c r="I83" s="13">
        <f t="shared" si="4"/>
        <v>0.94316436251920122</v>
      </c>
      <c r="J83" s="13">
        <f t="shared" si="5"/>
        <v>1.0602605863192183</v>
      </c>
    </row>
    <row r="84" spans="1:10" hidden="1" x14ac:dyDescent="0.25">
      <c r="A84" s="11" t="s">
        <v>72</v>
      </c>
      <c r="B84" s="8"/>
      <c r="C84" s="8" t="s">
        <v>41</v>
      </c>
      <c r="D84" s="15">
        <v>796.4</v>
      </c>
      <c r="E84" s="15">
        <v>1043.0999999999999</v>
      </c>
      <c r="F84" s="15">
        <f>+D84+F59-F71</f>
        <v>768.74999999999909</v>
      </c>
      <c r="G84" s="15">
        <f>+D84+G59-G71</f>
        <v>796.39999999999964</v>
      </c>
      <c r="H84" s="15">
        <v>1043.0999999999999</v>
      </c>
      <c r="I84" s="13">
        <f t="shared" si="4"/>
        <v>0.76349343303614203</v>
      </c>
      <c r="J84" s="13">
        <f t="shared" si="5"/>
        <v>1.3097689603214471</v>
      </c>
    </row>
    <row r="85" spans="1:10" hidden="1" x14ac:dyDescent="0.25">
      <c r="A85" s="11" t="s">
        <v>59</v>
      </c>
      <c r="B85" s="8"/>
      <c r="C85" s="8" t="s">
        <v>41</v>
      </c>
      <c r="D85" s="15">
        <v>-147.1</v>
      </c>
      <c r="E85" s="15">
        <v>-86.5</v>
      </c>
      <c r="F85" s="15">
        <f>+D85+F60-F72</f>
        <v>-340.82000000000005</v>
      </c>
      <c r="G85" s="15">
        <f>+D85+G60-G72</f>
        <v>-86.100000000000023</v>
      </c>
      <c r="H85" s="15">
        <v>-86.5</v>
      </c>
      <c r="I85" s="13">
        <f t="shared" si="4"/>
        <v>0.99537572254335283</v>
      </c>
      <c r="J85" s="13">
        <f t="shared" si="5"/>
        <v>1.0046457607433215</v>
      </c>
    </row>
    <row r="86" spans="1:10" hidden="1" x14ac:dyDescent="0.25">
      <c r="A86" s="11" t="s">
        <v>60</v>
      </c>
      <c r="B86" s="8"/>
      <c r="C86" s="8" t="s">
        <v>41</v>
      </c>
      <c r="D86" s="15">
        <v>-33</v>
      </c>
      <c r="E86" s="15">
        <v>6</v>
      </c>
      <c r="F86" s="15">
        <f>+D86+F61-F74</f>
        <v>-227.91000000000008</v>
      </c>
      <c r="G86" s="15">
        <f>+D86+G61-G74</f>
        <v>-227.91000000000008</v>
      </c>
      <c r="H86" s="15">
        <v>6</v>
      </c>
      <c r="I86" s="13">
        <f t="shared" si="4"/>
        <v>-37.985000000000014</v>
      </c>
      <c r="J86" s="13">
        <f t="shared" si="5"/>
        <v>-2.6326181387389749E-2</v>
      </c>
    </row>
    <row r="87" spans="1:10" hidden="1" x14ac:dyDescent="0.25">
      <c r="A87" s="11" t="s">
        <v>61</v>
      </c>
      <c r="B87" s="8"/>
      <c r="C87" s="8" t="s">
        <v>41</v>
      </c>
      <c r="D87" s="15"/>
      <c r="E87" s="15"/>
      <c r="F87" s="15"/>
      <c r="G87" s="15"/>
      <c r="H87" s="15"/>
      <c r="I87" s="15"/>
      <c r="J87" s="15"/>
    </row>
    <row r="88" spans="1:10" hidden="1" x14ac:dyDescent="0.25">
      <c r="A88" s="11" t="s">
        <v>62</v>
      </c>
      <c r="B88" s="8"/>
      <c r="C88" s="8" t="s">
        <v>41</v>
      </c>
      <c r="D88" s="15"/>
      <c r="E88" s="15"/>
      <c r="F88" s="15"/>
      <c r="G88" s="15"/>
      <c r="H88" s="15"/>
      <c r="I88" s="15"/>
      <c r="J88" s="15"/>
    </row>
    <row r="89" spans="1:10" hidden="1" x14ac:dyDescent="0.25">
      <c r="A89" s="11" t="s">
        <v>63</v>
      </c>
      <c r="B89" s="8"/>
      <c r="C89" s="8" t="s">
        <v>41</v>
      </c>
      <c r="D89" s="15"/>
      <c r="E89" s="15"/>
      <c r="F89" s="15"/>
      <c r="G89" s="15"/>
      <c r="H89" s="15"/>
      <c r="I89" s="15"/>
      <c r="J89" s="15"/>
    </row>
    <row r="90" spans="1:10" hidden="1" x14ac:dyDescent="0.25">
      <c r="A90" s="11" t="s">
        <v>64</v>
      </c>
      <c r="B90" s="8"/>
      <c r="C90" s="8" t="s">
        <v>41</v>
      </c>
      <c r="D90" s="15"/>
      <c r="E90" s="15"/>
      <c r="F90" s="15"/>
      <c r="G90" s="15"/>
      <c r="H90" s="15"/>
      <c r="I90" s="15"/>
      <c r="J90" s="15"/>
    </row>
    <row r="91" spans="1:10" hidden="1" x14ac:dyDescent="0.25">
      <c r="A91" s="11" t="s">
        <v>65</v>
      </c>
      <c r="B91" s="8"/>
      <c r="C91" s="8" t="s">
        <v>41</v>
      </c>
      <c r="D91" s="15"/>
      <c r="E91" s="15"/>
      <c r="F91" s="15"/>
      <c r="G91" s="15"/>
      <c r="H91" s="15"/>
      <c r="I91" s="15"/>
      <c r="J91" s="15"/>
    </row>
    <row r="92" spans="1:10" hidden="1" x14ac:dyDescent="0.25">
      <c r="A92" s="11" t="s">
        <v>66</v>
      </c>
      <c r="B92" s="8"/>
      <c r="C92" s="8" t="s">
        <v>41</v>
      </c>
      <c r="D92" s="15">
        <v>873.6</v>
      </c>
      <c r="E92" s="15"/>
      <c r="F92" s="15">
        <f>+D92+F67-F80</f>
        <v>-601.1</v>
      </c>
      <c r="G92" s="15">
        <f>+D92+G67-G80</f>
        <v>398.89999999999986</v>
      </c>
      <c r="H92" s="15"/>
      <c r="I92" s="15"/>
      <c r="J92" s="15"/>
    </row>
    <row r="93" spans="1:10" hidden="1" x14ac:dyDescent="0.25">
      <c r="A93" s="7" t="s">
        <v>73</v>
      </c>
      <c r="B93" s="8"/>
      <c r="C93" s="8"/>
      <c r="D93" s="15"/>
      <c r="E93" s="15"/>
      <c r="F93" s="15"/>
      <c r="G93" s="15"/>
      <c r="H93" s="15"/>
      <c r="I93" s="15"/>
      <c r="J93" s="15"/>
    </row>
    <row r="94" spans="1:10" hidden="1" x14ac:dyDescent="0.25">
      <c r="A94" s="11" t="s">
        <v>74</v>
      </c>
      <c r="B94" s="8"/>
      <c r="C94" s="8" t="s">
        <v>41</v>
      </c>
      <c r="D94" s="15"/>
      <c r="E94" s="15"/>
      <c r="F94" s="15"/>
      <c r="G94" s="15"/>
      <c r="H94" s="15"/>
      <c r="I94" s="15"/>
      <c r="J94" s="15"/>
    </row>
    <row r="95" spans="1:10" hidden="1" x14ac:dyDescent="0.25">
      <c r="A95" s="19" t="s">
        <v>75</v>
      </c>
      <c r="B95" s="20"/>
      <c r="C95" s="20" t="s">
        <v>41</v>
      </c>
      <c r="D95" s="21"/>
      <c r="E95" s="21"/>
      <c r="F95" s="21"/>
      <c r="G95" s="21"/>
      <c r="H95" s="21"/>
      <c r="I95" s="21"/>
      <c r="J95" s="21"/>
    </row>
    <row r="96" spans="1:10" ht="5.25" customHeight="1" x14ac:dyDescent="0.25">
      <c r="A96" s="27"/>
      <c r="B96" s="28"/>
      <c r="C96" s="28"/>
      <c r="D96" s="29"/>
      <c r="E96" s="29"/>
      <c r="F96" s="29"/>
      <c r="G96" s="29"/>
      <c r="H96" s="29"/>
      <c r="I96" s="29"/>
      <c r="J96" s="29"/>
    </row>
    <row r="97" spans="1:10" x14ac:dyDescent="0.25">
      <c r="A97" s="27" t="s">
        <v>76</v>
      </c>
      <c r="B97" s="28"/>
      <c r="C97" s="28"/>
      <c r="D97" s="29">
        <f>+D48*1.1*1.15</f>
        <v>73419.335000000006</v>
      </c>
      <c r="E97" s="30">
        <f>+E48*1.1*1.15</f>
        <v>78500</v>
      </c>
      <c r="F97" s="30">
        <v>35280</v>
      </c>
      <c r="G97" s="30">
        <v>67775</v>
      </c>
      <c r="H97" s="30">
        <v>70500</v>
      </c>
      <c r="I97" s="29"/>
      <c r="J97" s="29"/>
    </row>
    <row r="98" spans="1:10" x14ac:dyDescent="0.25">
      <c r="A98" s="31"/>
      <c r="B98" s="32"/>
      <c r="C98" s="32"/>
      <c r="I98" s="29"/>
      <c r="J98" s="29"/>
    </row>
    <row r="99" spans="1:10" x14ac:dyDescent="0.25">
      <c r="A99" s="31"/>
      <c r="B99" s="32"/>
      <c r="C99" s="32"/>
      <c r="D99" s="29"/>
      <c r="E99" s="29"/>
      <c r="F99" s="29"/>
      <c r="G99" s="29"/>
      <c r="H99" s="29"/>
      <c r="I99" s="29"/>
      <c r="J99" s="29"/>
    </row>
    <row r="100" spans="1:10" s="33" customFormat="1" ht="15.6" x14ac:dyDescent="0.3">
      <c r="A100" s="34"/>
      <c r="F100" s="109"/>
      <c r="G100" s="109"/>
      <c r="H100" s="109"/>
      <c r="I100" s="109"/>
      <c r="J100" s="109"/>
    </row>
    <row r="101" spans="1:10" s="33" customFormat="1" ht="15.6" x14ac:dyDescent="0.3">
      <c r="A101" s="35"/>
      <c r="G101" s="2"/>
    </row>
    <row r="102" spans="1:10" s="33" customFormat="1" ht="15.6" x14ac:dyDescent="0.3">
      <c r="A102" s="34"/>
      <c r="G102" s="3"/>
    </row>
    <row r="103" spans="1:10" s="33" customFormat="1" ht="15.6" x14ac:dyDescent="0.3">
      <c r="A103" s="36"/>
    </row>
    <row r="104" spans="1:10" s="33" customFormat="1" ht="15.6" x14ac:dyDescent="0.3">
      <c r="A104" s="36"/>
    </row>
    <row r="105" spans="1:10" s="33" customFormat="1" ht="15.6" x14ac:dyDescent="0.3">
      <c r="A105" s="37"/>
    </row>
    <row r="106" spans="1:10" s="33" customFormat="1" ht="15.6" x14ac:dyDescent="0.3">
      <c r="A106" s="37"/>
    </row>
    <row r="107" spans="1:10" s="33" customFormat="1" ht="15.6" x14ac:dyDescent="0.3">
      <c r="A107" s="38"/>
      <c r="G107" s="39"/>
    </row>
    <row r="108" spans="1:10" s="33" customFormat="1" ht="15.6" x14ac:dyDescent="0.3">
      <c r="A108" s="38"/>
    </row>
  </sheetData>
  <mergeCells count="14">
    <mergeCell ref="H5:H6"/>
    <mergeCell ref="I5:I6"/>
    <mergeCell ref="J5:J6"/>
    <mergeCell ref="F100:J100"/>
    <mergeCell ref="A5:A6"/>
    <mergeCell ref="B5:B6"/>
    <mergeCell ref="C5:C6"/>
    <mergeCell ref="D5:D6"/>
    <mergeCell ref="E5:G5"/>
    <mergeCell ref="I1:J1"/>
    <mergeCell ref="A1:D1"/>
    <mergeCell ref="I2:J2"/>
    <mergeCell ref="A3:J3"/>
    <mergeCell ref="A4:J4"/>
  </mergeCells>
  <printOptions gridLines="1" gridLinesSet="0"/>
  <pageMargins left="0.51000000000000012" right="0.20000000000000004" top="0.20000000000000004" bottom="0.20000000000000004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</sheetPr>
  <dimension ref="A1:M37"/>
  <sheetViews>
    <sheetView tabSelected="1" workbookViewId="0">
      <selection activeCell="D25" sqref="D25"/>
    </sheetView>
  </sheetViews>
  <sheetFormatPr defaultColWidth="8.88671875" defaultRowHeight="13.2" x14ac:dyDescent="0.25"/>
  <cols>
    <col min="1" max="1" width="4" style="40" customWidth="1"/>
    <col min="2" max="2" width="33.88671875" style="40" customWidth="1"/>
    <col min="3" max="3" width="12" style="40" customWidth="1"/>
    <col min="4" max="4" width="12.6640625" style="41" customWidth="1"/>
    <col min="5" max="5" width="13.6640625" style="41" customWidth="1"/>
    <col min="6" max="6" width="15.33203125" style="41" customWidth="1"/>
    <col min="7" max="7" width="15.6640625" style="41" customWidth="1"/>
    <col min="8" max="8" width="16.44140625" style="40" customWidth="1"/>
    <col min="9" max="9" width="13.33203125" style="40" customWidth="1"/>
    <col min="10" max="10" width="13" style="40" customWidth="1"/>
    <col min="11" max="12" width="14.6640625" style="42" customWidth="1"/>
    <col min="13" max="13" width="11.33203125" style="42" bestFit="1" customWidth="1"/>
    <col min="14" max="16384" width="8.88671875" style="40"/>
  </cols>
  <sheetData>
    <row r="1" spans="1:13" x14ac:dyDescent="0.25">
      <c r="A1" s="43" t="s">
        <v>77</v>
      </c>
      <c r="I1" s="111" t="s">
        <v>78</v>
      </c>
      <c r="J1" s="111"/>
      <c r="K1" s="44"/>
      <c r="L1" s="44"/>
    </row>
    <row r="2" spans="1:13" x14ac:dyDescent="0.25">
      <c r="K2" s="40"/>
      <c r="L2" s="40"/>
      <c r="M2" s="40"/>
    </row>
    <row r="3" spans="1:13" ht="17.399999999999999" x14ac:dyDescent="0.3">
      <c r="A3" s="112" t="s">
        <v>79</v>
      </c>
      <c r="B3" s="112"/>
      <c r="C3" s="112"/>
      <c r="D3" s="112"/>
      <c r="E3" s="112"/>
      <c r="F3" s="112"/>
      <c r="G3" s="112"/>
      <c r="H3" s="112"/>
      <c r="I3" s="112"/>
      <c r="J3" s="112"/>
      <c r="K3" s="40"/>
      <c r="L3" s="40"/>
      <c r="M3" s="40"/>
    </row>
    <row r="4" spans="1:13" ht="15.6" x14ac:dyDescent="0.25">
      <c r="A4" s="109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40"/>
      <c r="L4" s="40"/>
      <c r="M4" s="40"/>
    </row>
    <row r="5" spans="1:13" x14ac:dyDescent="0.25">
      <c r="A5" s="45"/>
      <c r="B5" s="45"/>
      <c r="C5" s="45"/>
      <c r="D5" s="46"/>
      <c r="E5" s="46"/>
      <c r="F5" s="46"/>
      <c r="K5" s="40"/>
      <c r="L5" s="40"/>
      <c r="M5" s="40"/>
    </row>
    <row r="6" spans="1:13" ht="18" customHeight="1" x14ac:dyDescent="0.25">
      <c r="A6" s="113" t="s">
        <v>80</v>
      </c>
      <c r="B6" s="113" t="s">
        <v>81</v>
      </c>
      <c r="C6" s="113" t="s">
        <v>82</v>
      </c>
      <c r="D6" s="114" t="s">
        <v>8</v>
      </c>
      <c r="E6" s="114" t="s">
        <v>9</v>
      </c>
      <c r="F6" s="114"/>
      <c r="G6" s="114"/>
      <c r="H6" s="110" t="s">
        <v>83</v>
      </c>
      <c r="I6" s="110" t="s">
        <v>11</v>
      </c>
      <c r="J6" s="110" t="s">
        <v>12</v>
      </c>
      <c r="K6" s="40"/>
      <c r="L6" s="40"/>
      <c r="M6" s="40"/>
    </row>
    <row r="7" spans="1:13" ht="26.4" x14ac:dyDescent="0.25">
      <c r="A7" s="113"/>
      <c r="B7" s="113"/>
      <c r="C7" s="113"/>
      <c r="D7" s="114"/>
      <c r="E7" s="47" t="s">
        <v>13</v>
      </c>
      <c r="F7" s="47" t="s">
        <v>14</v>
      </c>
      <c r="G7" s="47" t="s">
        <v>15</v>
      </c>
      <c r="H7" s="110"/>
      <c r="I7" s="110"/>
      <c r="J7" s="110"/>
      <c r="K7" s="40"/>
      <c r="L7" s="40"/>
      <c r="M7" s="40"/>
    </row>
    <row r="8" spans="1:13" x14ac:dyDescent="0.25">
      <c r="A8" s="48">
        <v>1</v>
      </c>
      <c r="B8" s="48">
        <v>2</v>
      </c>
      <c r="C8" s="48">
        <v>3</v>
      </c>
      <c r="D8" s="49">
        <v>4</v>
      </c>
      <c r="E8" s="49">
        <v>5</v>
      </c>
      <c r="F8" s="49">
        <v>6</v>
      </c>
      <c r="G8" s="49">
        <v>7</v>
      </c>
      <c r="H8" s="48">
        <v>8</v>
      </c>
      <c r="I8" s="48">
        <v>9</v>
      </c>
      <c r="J8" s="48">
        <v>10</v>
      </c>
      <c r="K8" s="40"/>
      <c r="L8" s="40"/>
      <c r="M8" s="40"/>
    </row>
    <row r="9" spans="1:13" ht="13.8" x14ac:dyDescent="0.25">
      <c r="A9" s="50">
        <v>1</v>
      </c>
      <c r="B9" s="51" t="s">
        <v>84</v>
      </c>
      <c r="C9" s="52" t="s">
        <v>21</v>
      </c>
      <c r="D9" s="53">
        <f>+D10+D11+D12+D13</f>
        <v>7425734</v>
      </c>
      <c r="E9" s="53">
        <f>+E10+E11+E12+E13</f>
        <v>8110173</v>
      </c>
      <c r="F9" s="54">
        <f>+F10+F11+F12+F13</f>
        <v>3429475</v>
      </c>
      <c r="G9" s="55">
        <v>6588227</v>
      </c>
      <c r="H9" s="12">
        <v>6853117</v>
      </c>
      <c r="I9" s="56">
        <f t="shared" ref="I9:I21" si="0">+G9/E9</f>
        <v>0.81234111775420825</v>
      </c>
      <c r="J9" s="56">
        <f t="shared" ref="J9:J21" si="1">+H9/G9</f>
        <v>1.0402065684743407</v>
      </c>
      <c r="K9" s="40"/>
      <c r="L9" s="40"/>
      <c r="M9" s="40"/>
    </row>
    <row r="10" spans="1:13" x14ac:dyDescent="0.25">
      <c r="A10" s="57" t="s">
        <v>85</v>
      </c>
      <c r="B10" s="58" t="s">
        <v>86</v>
      </c>
      <c r="C10" s="59"/>
      <c r="D10" s="60">
        <f>+'BC thue 26 6'!D20</f>
        <v>1291408</v>
      </c>
      <c r="E10" s="55">
        <v>1379632</v>
      </c>
      <c r="F10" s="55">
        <v>655139</v>
      </c>
      <c r="G10" s="55">
        <v>1258561</v>
      </c>
      <c r="H10" s="12">
        <v>1309163</v>
      </c>
      <c r="I10" s="61">
        <f t="shared" si="0"/>
        <v>0.91224398970160159</v>
      </c>
      <c r="J10" s="61">
        <f t="shared" si="1"/>
        <v>1.0402062355340742</v>
      </c>
      <c r="K10" s="40"/>
      <c r="L10" s="40"/>
      <c r="M10" s="40"/>
    </row>
    <row r="11" spans="1:13" x14ac:dyDescent="0.25">
      <c r="A11" s="57" t="s">
        <v>85</v>
      </c>
      <c r="B11" s="58" t="s">
        <v>87</v>
      </c>
      <c r="C11" s="59"/>
      <c r="D11" s="62">
        <v>674378</v>
      </c>
      <c r="E11" s="55">
        <v>967905</v>
      </c>
      <c r="F11" s="63">
        <v>229264</v>
      </c>
      <c r="G11" s="63">
        <v>440430</v>
      </c>
      <c r="H11" s="64">
        <v>458138</v>
      </c>
      <c r="I11" s="61">
        <f t="shared" si="0"/>
        <v>0.45503432671594835</v>
      </c>
      <c r="J11" s="61">
        <f t="shared" si="1"/>
        <v>1.0402061621597076</v>
      </c>
      <c r="K11" s="40"/>
      <c r="L11" s="40"/>
      <c r="M11" s="40"/>
    </row>
    <row r="12" spans="1:13" x14ac:dyDescent="0.25">
      <c r="A12" s="57" t="s">
        <v>85</v>
      </c>
      <c r="B12" s="58" t="s">
        <v>88</v>
      </c>
      <c r="C12" s="59"/>
      <c r="D12" s="62">
        <v>5237619</v>
      </c>
      <c r="E12" s="55">
        <v>5536802</v>
      </c>
      <c r="F12" s="63">
        <v>2438732</v>
      </c>
      <c r="G12" s="63">
        <v>4684950</v>
      </c>
      <c r="H12" s="64">
        <v>4873317</v>
      </c>
      <c r="I12" s="61">
        <f t="shared" si="0"/>
        <v>0.84614728863340249</v>
      </c>
      <c r="J12" s="61">
        <f t="shared" si="1"/>
        <v>1.0402068325168892</v>
      </c>
      <c r="K12" s="40"/>
      <c r="L12" s="40"/>
      <c r="M12" s="40"/>
    </row>
    <row r="13" spans="1:13" x14ac:dyDescent="0.25">
      <c r="A13" s="57" t="s">
        <v>85</v>
      </c>
      <c r="B13" s="58" t="s">
        <v>89</v>
      </c>
      <c r="C13" s="59"/>
      <c r="D13" s="65">
        <v>222329</v>
      </c>
      <c r="E13" s="55">
        <v>225834</v>
      </c>
      <c r="F13" s="63">
        <v>106340</v>
      </c>
      <c r="G13" s="63">
        <v>204286</v>
      </c>
      <c r="H13" s="64">
        <v>212499</v>
      </c>
      <c r="I13" s="61">
        <f t="shared" si="0"/>
        <v>0.9045847835135542</v>
      </c>
      <c r="J13" s="61">
        <f t="shared" si="1"/>
        <v>1.0402034402749087</v>
      </c>
      <c r="K13" s="40"/>
      <c r="L13" s="40"/>
      <c r="M13" s="40"/>
    </row>
    <row r="14" spans="1:13" ht="13.8" x14ac:dyDescent="0.25">
      <c r="A14" s="66">
        <v>2</v>
      </c>
      <c r="B14" s="67" t="s">
        <v>90</v>
      </c>
      <c r="C14" s="68" t="s">
        <v>91</v>
      </c>
      <c r="D14" s="69">
        <f>+D15+D20</f>
        <v>75802.049999999988</v>
      </c>
      <c r="E14" s="70">
        <v>79200</v>
      </c>
      <c r="F14" s="71">
        <f>+F15+F20</f>
        <v>36005.9</v>
      </c>
      <c r="G14" s="71">
        <f>+G15+G20</f>
        <v>69285</v>
      </c>
      <c r="H14" s="72">
        <f>+H15+H20</f>
        <v>72000</v>
      </c>
      <c r="I14" s="73">
        <f t="shared" si="0"/>
        <v>0.87481060606060601</v>
      </c>
      <c r="J14" s="73">
        <f t="shared" si="1"/>
        <v>1.0391859709893916</v>
      </c>
      <c r="K14" s="40"/>
      <c r="L14" s="40"/>
      <c r="M14" s="40"/>
    </row>
    <row r="15" spans="1:13" x14ac:dyDescent="0.25">
      <c r="A15" s="74" t="s">
        <v>85</v>
      </c>
      <c r="B15" s="75" t="s">
        <v>92</v>
      </c>
      <c r="C15" s="59"/>
      <c r="D15" s="76">
        <f>SUM(D16:D19)</f>
        <v>73419.399999999994</v>
      </c>
      <c r="E15" s="77">
        <v>78500</v>
      </c>
      <c r="F15" s="78">
        <f>ROUND(SUM(F16:F19),0)</f>
        <v>35308</v>
      </c>
      <c r="G15" s="79">
        <v>67775</v>
      </c>
      <c r="H15" s="80">
        <v>70500</v>
      </c>
      <c r="I15" s="81">
        <f t="shared" si="0"/>
        <v>0.86337579617834392</v>
      </c>
      <c r="J15" s="81">
        <f t="shared" si="1"/>
        <v>1.0402065658428623</v>
      </c>
      <c r="K15" s="40"/>
      <c r="L15" s="40"/>
      <c r="M15" s="40"/>
    </row>
    <row r="16" spans="1:13" x14ac:dyDescent="0.25">
      <c r="A16" s="74" t="s">
        <v>93</v>
      </c>
      <c r="B16" s="58" t="s">
        <v>86</v>
      </c>
      <c r="C16" s="59"/>
      <c r="D16" s="76">
        <v>13524.2</v>
      </c>
      <c r="E16" s="63">
        <v>15016.053060393117</v>
      </c>
      <c r="F16" s="82">
        <v>7186.5</v>
      </c>
      <c r="G16" s="63">
        <f>$G$15/$F$15*F16</f>
        <v>13794.75012744987</v>
      </c>
      <c r="H16" s="64">
        <f>$H$15/$G$15*G16</f>
        <v>14349.389656735017</v>
      </c>
      <c r="I16" s="61">
        <f t="shared" si="0"/>
        <v>0.91866684753767958</v>
      </c>
      <c r="J16" s="61">
        <f t="shared" si="1"/>
        <v>1.0402065658428623</v>
      </c>
      <c r="K16" s="40"/>
      <c r="L16" s="83"/>
      <c r="M16" s="40"/>
    </row>
    <row r="17" spans="1:13" x14ac:dyDescent="0.25">
      <c r="A17" s="74" t="s">
        <v>93</v>
      </c>
      <c r="B17" s="58" t="s">
        <v>87</v>
      </c>
      <c r="C17" s="59"/>
      <c r="D17" s="76">
        <v>2098</v>
      </c>
      <c r="E17" s="63">
        <v>2456.3728485589163</v>
      </c>
      <c r="F17" s="82">
        <v>1146.3</v>
      </c>
      <c r="G17" s="63">
        <f>$G$15/$F$15*F17</f>
        <v>2200.364860654809</v>
      </c>
      <c r="H17" s="64">
        <f>$H$15/$G$15*G17</f>
        <v>2288.8339753030473</v>
      </c>
      <c r="I17" s="61">
        <f t="shared" si="0"/>
        <v>0.89577804197994626</v>
      </c>
      <c r="J17" s="61">
        <f t="shared" si="1"/>
        <v>1.0402065658428623</v>
      </c>
      <c r="K17" s="40"/>
      <c r="L17" s="83"/>
      <c r="M17" s="40"/>
    </row>
    <row r="18" spans="1:13" x14ac:dyDescent="0.25">
      <c r="A18" s="74" t="s">
        <v>93</v>
      </c>
      <c r="B18" s="58" t="s">
        <v>88</v>
      </c>
      <c r="C18" s="59"/>
      <c r="D18" s="76">
        <v>52376</v>
      </c>
      <c r="E18" s="63">
        <v>55367.323556370306</v>
      </c>
      <c r="F18" s="82">
        <v>24387.3</v>
      </c>
      <c r="G18" s="63">
        <f>$G$15/$F$15*F18</f>
        <v>46812.31611816019</v>
      </c>
      <c r="H18" s="64">
        <f>$H$15/$G$15*G18</f>
        <v>48694.47858842188</v>
      </c>
      <c r="I18" s="61">
        <f t="shared" si="0"/>
        <v>0.84548634666257372</v>
      </c>
      <c r="J18" s="61">
        <f t="shared" si="1"/>
        <v>1.0402065658428623</v>
      </c>
      <c r="K18" s="40"/>
      <c r="L18" s="83"/>
      <c r="M18" s="40"/>
    </row>
    <row r="19" spans="1:13" x14ac:dyDescent="0.25">
      <c r="A19" s="74" t="s">
        <v>93</v>
      </c>
      <c r="B19" s="58" t="s">
        <v>89</v>
      </c>
      <c r="C19" s="59"/>
      <c r="D19" s="76">
        <v>5421.2</v>
      </c>
      <c r="E19" s="63">
        <v>5660.2505346776661</v>
      </c>
      <c r="F19" s="82">
        <v>2587.6</v>
      </c>
      <c r="G19" s="63">
        <f>$G$15/$F$15*F19</f>
        <v>4966.9930327404554</v>
      </c>
      <c r="H19" s="64">
        <f>$H$15/$G$15*G19</f>
        <v>5166.6987651523732</v>
      </c>
      <c r="I19" s="61">
        <f t="shared" si="0"/>
        <v>0.87752176380003832</v>
      </c>
      <c r="J19" s="61">
        <f t="shared" si="1"/>
        <v>1.0402065658428623</v>
      </c>
      <c r="K19" s="40"/>
      <c r="L19" s="83"/>
      <c r="M19" s="40"/>
    </row>
    <row r="20" spans="1:13" ht="26.4" x14ac:dyDescent="0.25">
      <c r="A20" s="74" t="s">
        <v>85</v>
      </c>
      <c r="B20" s="75" t="s">
        <v>94</v>
      </c>
      <c r="C20" s="59"/>
      <c r="D20" s="78">
        <f>+D21+D22</f>
        <v>2382.65</v>
      </c>
      <c r="E20" s="84">
        <v>700</v>
      </c>
      <c r="F20" s="85">
        <f>+F21+F22</f>
        <v>697.9</v>
      </c>
      <c r="G20" s="63">
        <f>+G21+G22</f>
        <v>1510</v>
      </c>
      <c r="H20" s="64">
        <f>+H21+H22</f>
        <v>1500</v>
      </c>
      <c r="I20" s="81">
        <f t="shared" si="0"/>
        <v>2.157142857142857</v>
      </c>
      <c r="J20" s="81">
        <f t="shared" si="1"/>
        <v>0.99337748344370858</v>
      </c>
      <c r="K20" s="40"/>
      <c r="L20" s="40"/>
      <c r="M20" s="40"/>
    </row>
    <row r="21" spans="1:13" x14ac:dyDescent="0.25">
      <c r="A21" s="74" t="s">
        <v>93</v>
      </c>
      <c r="B21" s="75" t="s">
        <v>95</v>
      </c>
      <c r="C21" s="59"/>
      <c r="D21" s="78">
        <v>1506.4</v>
      </c>
      <c r="E21" s="84">
        <v>700</v>
      </c>
      <c r="F21" s="85">
        <v>696.6</v>
      </c>
      <c r="G21" s="63">
        <v>1500</v>
      </c>
      <c r="H21" s="86">
        <v>1500</v>
      </c>
      <c r="I21" s="81">
        <f t="shared" si="0"/>
        <v>2.1428571428571428</v>
      </c>
      <c r="J21" s="81">
        <f t="shared" si="1"/>
        <v>1</v>
      </c>
      <c r="K21" s="40"/>
      <c r="L21" s="40"/>
      <c r="M21" s="40"/>
    </row>
    <row r="22" spans="1:13" x14ac:dyDescent="0.25">
      <c r="A22" s="74" t="s">
        <v>93</v>
      </c>
      <c r="B22" s="75" t="s">
        <v>96</v>
      </c>
      <c r="C22" s="59"/>
      <c r="D22" s="78">
        <v>876.25</v>
      </c>
      <c r="E22" s="84">
        <v>0</v>
      </c>
      <c r="F22" s="85">
        <v>1.3</v>
      </c>
      <c r="G22" s="63">
        <v>10</v>
      </c>
      <c r="H22" s="86">
        <v>0</v>
      </c>
      <c r="I22" s="81"/>
      <c r="J22" s="81"/>
      <c r="K22" s="40"/>
      <c r="L22" s="40"/>
      <c r="M22" s="40"/>
    </row>
    <row r="23" spans="1:13" ht="13.8" x14ac:dyDescent="0.25">
      <c r="A23" s="66">
        <v>3</v>
      </c>
      <c r="B23" s="67" t="s">
        <v>97</v>
      </c>
      <c r="C23" s="68" t="s">
        <v>91</v>
      </c>
      <c r="D23" s="87">
        <f>+D15/1.1/1.15+D20-D24</f>
        <v>55929.501383399205</v>
      </c>
      <c r="E23" s="87">
        <v>60155.335968379441</v>
      </c>
      <c r="F23" s="71">
        <f>+F15/1.1/1.15+F20-F24</f>
        <v>27309.362450592886</v>
      </c>
      <c r="G23" s="71">
        <f>+G15/1.1/1.15+G20-G24</f>
        <v>52487.075098814232</v>
      </c>
      <c r="H23" s="88">
        <f>+H15/1.1/1.15+H20-H24</f>
        <v>54581.225296442688</v>
      </c>
      <c r="I23" s="10">
        <f>+G23/E23</f>
        <v>0.87252567463680997</v>
      </c>
      <c r="J23" s="10">
        <f>+H23/G23</f>
        <v>1.039898397723362</v>
      </c>
      <c r="K23" s="40"/>
      <c r="L23" s="40"/>
      <c r="M23" s="40"/>
    </row>
    <row r="24" spans="1:13" ht="13.8" x14ac:dyDescent="0.25">
      <c r="A24" s="66">
        <v>4</v>
      </c>
      <c r="B24" s="67" t="s">
        <v>98</v>
      </c>
      <c r="C24" s="68" t="s">
        <v>91</v>
      </c>
      <c r="D24" s="89">
        <v>4492.2</v>
      </c>
      <c r="E24" s="70">
        <v>2600</v>
      </c>
      <c r="F24" s="90">
        <v>1300</v>
      </c>
      <c r="G24" s="70">
        <v>2600</v>
      </c>
      <c r="H24" s="72">
        <v>2650</v>
      </c>
      <c r="I24" s="73">
        <f>+G24/E24</f>
        <v>1</v>
      </c>
      <c r="J24" s="73">
        <f>+H24/G24</f>
        <v>1.0192307692307692</v>
      </c>
      <c r="K24" s="40"/>
      <c r="L24" s="40"/>
      <c r="M24" s="40"/>
    </row>
    <row r="25" spans="1:13" ht="13.8" x14ac:dyDescent="0.25">
      <c r="A25" s="66">
        <v>5</v>
      </c>
      <c r="B25" s="67" t="s">
        <v>99</v>
      </c>
      <c r="C25" s="68" t="s">
        <v>91</v>
      </c>
      <c r="D25" s="91">
        <v>17557</v>
      </c>
      <c r="E25" s="70">
        <v>17099.964031620551</v>
      </c>
      <c r="F25" s="90">
        <v>10304</v>
      </c>
      <c r="G25" s="70">
        <v>16925.7</v>
      </c>
      <c r="H25" s="72">
        <v>15900</v>
      </c>
      <c r="I25" s="73">
        <f>+G25/E25</f>
        <v>0.98980909952217977</v>
      </c>
      <c r="J25" s="73">
        <f>+H25/G25</f>
        <v>0.93939984756908135</v>
      </c>
      <c r="K25" s="40"/>
      <c r="L25" s="40"/>
      <c r="M25" s="40"/>
    </row>
    <row r="26" spans="1:13" ht="27.6" x14ac:dyDescent="0.25">
      <c r="A26" s="66">
        <v>6</v>
      </c>
      <c r="B26" s="67" t="s">
        <v>100</v>
      </c>
      <c r="C26" s="68" t="s">
        <v>101</v>
      </c>
      <c r="D26" s="92">
        <v>8.3000000000000007</v>
      </c>
      <c r="E26" s="93">
        <v>8.1999999999999993</v>
      </c>
      <c r="F26" s="93">
        <v>10.5</v>
      </c>
      <c r="G26" s="93">
        <v>8.1999999999999993</v>
      </c>
      <c r="H26" s="94">
        <v>8.1999999999999993</v>
      </c>
      <c r="I26" s="95">
        <f>+G26/E26</f>
        <v>1</v>
      </c>
      <c r="J26" s="95">
        <f>+H26/G26</f>
        <v>1</v>
      </c>
      <c r="K26" s="40"/>
      <c r="L26" s="40"/>
      <c r="M26" s="40"/>
    </row>
    <row r="27" spans="1:13" ht="13.8" x14ac:dyDescent="0.25">
      <c r="A27" s="96">
        <v>7</v>
      </c>
      <c r="B27" s="97" t="s">
        <v>102</v>
      </c>
      <c r="C27" s="98" t="s">
        <v>103</v>
      </c>
      <c r="D27" s="99">
        <v>47</v>
      </c>
      <c r="E27" s="100">
        <v>48</v>
      </c>
      <c r="F27" s="100">
        <v>46</v>
      </c>
      <c r="G27" s="100">
        <v>46</v>
      </c>
      <c r="H27" s="101">
        <v>46</v>
      </c>
      <c r="I27" s="102">
        <f>+G27/E27</f>
        <v>0.95833333333333337</v>
      </c>
      <c r="J27" s="102">
        <f>+H27/G27</f>
        <v>1</v>
      </c>
      <c r="K27" s="103"/>
      <c r="L27" s="103"/>
    </row>
    <row r="29" spans="1:13" s="33" customFormat="1" ht="15.6" x14ac:dyDescent="0.3">
      <c r="A29" s="34"/>
      <c r="D29" s="104"/>
      <c r="E29" s="104"/>
      <c r="F29" s="109"/>
      <c r="G29" s="109"/>
      <c r="H29" s="109"/>
      <c r="I29" s="109"/>
      <c r="J29" s="109"/>
    </row>
    <row r="30" spans="1:13" s="33" customFormat="1" ht="15.6" x14ac:dyDescent="0.3">
      <c r="B30" s="35"/>
      <c r="D30" s="104"/>
      <c r="E30" s="104"/>
      <c r="H30" s="2"/>
    </row>
    <row r="31" spans="1:13" s="33" customFormat="1" ht="15.6" x14ac:dyDescent="0.3">
      <c r="B31" s="34"/>
      <c r="D31" s="104"/>
      <c r="E31" s="104"/>
      <c r="H31" s="3"/>
    </row>
    <row r="32" spans="1:13" s="33" customFormat="1" ht="15.6" x14ac:dyDescent="0.3">
      <c r="B32" s="36"/>
      <c r="D32" s="104"/>
      <c r="E32" s="104"/>
    </row>
    <row r="33" spans="2:8" s="33" customFormat="1" ht="15.6" x14ac:dyDescent="0.3">
      <c r="B33" s="36"/>
      <c r="D33" s="104"/>
      <c r="E33" s="104"/>
    </row>
    <row r="34" spans="2:8" s="33" customFormat="1" ht="15.6" x14ac:dyDescent="0.3">
      <c r="B34" s="37"/>
      <c r="D34" s="104"/>
      <c r="E34" s="104"/>
    </row>
    <row r="35" spans="2:8" s="33" customFormat="1" ht="15.6" x14ac:dyDescent="0.3">
      <c r="B35" s="37"/>
      <c r="D35" s="104"/>
      <c r="E35" s="104"/>
    </row>
    <row r="36" spans="2:8" s="33" customFormat="1" ht="15.6" x14ac:dyDescent="0.3">
      <c r="B36" s="38"/>
      <c r="D36" s="104"/>
      <c r="E36" s="104"/>
      <c r="H36" s="39"/>
    </row>
    <row r="37" spans="2:8" s="33" customFormat="1" ht="15.6" x14ac:dyDescent="0.3">
      <c r="B37" s="38"/>
      <c r="D37" s="104"/>
      <c r="E37" s="104"/>
      <c r="F37" s="104"/>
      <c r="G37" s="104"/>
    </row>
  </sheetData>
  <mergeCells count="12">
    <mergeCell ref="F29:J29"/>
    <mergeCell ref="I1:J1"/>
    <mergeCell ref="A3:J3"/>
    <mergeCell ref="A4:J4"/>
    <mergeCell ref="A6:A7"/>
    <mergeCell ref="B6:B7"/>
    <mergeCell ref="C6:C7"/>
    <mergeCell ref="D6:D7"/>
    <mergeCell ref="E6:G6"/>
    <mergeCell ref="H6:H7"/>
    <mergeCell ref="I6:I7"/>
    <mergeCell ref="J6:J7"/>
  </mergeCells>
  <printOptions gridLines="1" gridLinesSet="0"/>
  <pageMargins left="0.77999999999999992" right="0.28000000000000003" top="0.49" bottom="0.27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 thue 26 6</vt:lpstr>
      <vt:lpstr>Bieu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2023-07-31T02:34:45Z</cp:lastPrinted>
  <dcterms:created xsi:type="dcterms:W3CDTF">2023-07-31T02:36:46Z</dcterms:created>
  <dcterms:modified xsi:type="dcterms:W3CDTF">2023-07-31T02:36:46Z</dcterms:modified>
</cp:coreProperties>
</file>